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8FA71E50-45F9-4534-81A7-E82C32EEAE53}" xr6:coauthVersionLast="47" xr6:coauthVersionMax="47" xr10:uidLastSave="{00000000-0000-0000-0000-000000000000}"/>
  <workbookProtection workbookAlgorithmName="SHA-512" workbookHashValue="0IoNvheQ4j7fytFnJPUc8KdTxFY2eJSpBTQm9c5zfUqLWU5mKr2Y/zLfcUtsxCVxEP5wYmKtxKT0GEANh04BwA==" workbookSaltValue="tEtdnw0w4C+M4KxOHoay5Q==" workbookSpinCount="100000" lockStructure="1"/>
  <bookViews>
    <workbookView xWindow="28680" yWindow="-120" windowWidth="29040" windowHeight="17640" tabRatio="671" xr2:uid="{00000000-000D-0000-FFFF-FFFF00000000}"/>
  </bookViews>
  <sheets>
    <sheet name="Estimator" sheetId="16" r:id="rId1"/>
    <sheet name="Locations" sheetId="18" state="veryHidden" r:id="rId2"/>
    <sheet name="Prices" sheetId="17" state="veryHidden" r:id="rId3"/>
    <sheet name="Reference" sheetId="21" state="veryHidden" r:id="rId4"/>
    <sheet name="Charges" sheetId="19" state="veryHidden" r:id="rId5"/>
    <sheet name="Logic" sheetId="20" state="veryHidden" r:id="rId6"/>
    <sheet name="Min Oil List" sheetId="23" state="veryHidden" r:id="rId7"/>
    <sheet name="Note" sheetId="22" state="veryHidden" r:id="rId8"/>
  </sheets>
  <definedNames>
    <definedName name="_xlnm._FilterDatabase" localSheetId="1" hidden="1">Locations!$B$1:$C$15</definedName>
    <definedName name="_xlnm._FilterDatabase" localSheetId="6" hidden="1">'Min Oil List'!$A$1:$B$1</definedName>
    <definedName name="BasePrice2">Prices!$C$31:$D$40</definedName>
    <definedName name="BLFuelSurcharge">Prices!$K$43</definedName>
    <definedName name="BLRates2">Prices!$H$28:$L$41</definedName>
    <definedName name="ESI_Applicable_Rate">Reference!$K$18</definedName>
    <definedName name="ESI_Discount_Value">Reference!$K$19</definedName>
    <definedName name="Estuary_Charge">Reference!$K$5</definedName>
    <definedName name="Estuary_Charge_Rate">Reference!$K$4</definedName>
    <definedName name="fBeam">Reference!$C$9</definedName>
    <definedName name="fCargoTonnage">Reference!$C$12</definedName>
    <definedName name="fCargoType">Reference!$C$11</definedName>
    <definedName name="fDraught">Reference!$C$8</definedName>
    <definedName name="fESI">Reference!$C$7</definedName>
    <definedName name="fFrom">Reference!$C$2</definedName>
    <definedName name="fLOA">Reference!$C$4</definedName>
    <definedName name="fTilbury">Reference!$C$10</definedName>
    <definedName name="fTo">Reference!$C$3</definedName>
    <definedName name="fTOSCAAnimal">Reference!$C$22</definedName>
    <definedName name="fTOSCAType">Reference!$C$20</definedName>
    <definedName name="fUnitSize">Reference!$C$21</definedName>
    <definedName name="fVesselGT">Reference!$C$6</definedName>
    <definedName name="fVesselType">Reference!$C$5</definedName>
    <definedName name="Goods_Charge">Reference!$K$9</definedName>
    <definedName name="Goods_Charge_Rate">Reference!$K$8</definedName>
    <definedName name="LOC">Reference!$H$2</definedName>
    <definedName name="LongLocations2">LocationIndex2[Location Name]</definedName>
    <definedName name="MandatoryCheck">Reference!$K$28</definedName>
    <definedName name="Pilots_Required">Reference!$H$13</definedName>
    <definedName name="PNPFLevyRate">Prices!$E$44</definedName>
    <definedName name="pnpfRate">Prices!$E$44</definedName>
    <definedName name="RiverBand">Reference!$H$6</definedName>
    <definedName name="RiverRateCode">Reference!$H$5</definedName>
    <definedName name="rngGoods">Estimator!$H$12:$L$13</definedName>
    <definedName name="rngUnits">Estimator!$H$14:$L$26</definedName>
    <definedName name="RoRoDiscountRate">Prices!$E$43</definedName>
    <definedName name="SeaBand">Reference!$H$4</definedName>
    <definedName name="SeaRateCode">Reference!$H$3</definedName>
    <definedName name="SpecPilotRequired">Reference!$H$14</definedName>
    <definedName name="TOSCAList">Reference!$R$2:$R$4</definedName>
    <definedName name="Total_Cargo_Charge">Reference!$K$15</definedName>
    <definedName name="Vessel_Conservancy_Charge">Reference!$K$7</definedName>
    <definedName name="Vessel_Conservancy_Charge_Rate">Reference!$K$6</definedName>
    <definedName name="VisGoods">Reference!$K$2</definedName>
    <definedName name="VisUnits">Reference!$K$3</definedName>
    <definedName name="Z_3ABEB7E8_BD3D_48DE_BEE4_74EA23EB335A_.wvu.Cols" localSheetId="0" hidden="1">Estimator!$O:$GQ</definedName>
    <definedName name="Z_3ABEB7E8_BD3D_48DE_BEE4_74EA23EB335A_.wvu.PrintArea" localSheetId="0" hidden="1">Estimator!$C$2:$L$62</definedName>
    <definedName name="Z_3ABEB7E8_BD3D_48DE_BEE4_74EA23EB335A_.wvu.PrintArea" localSheetId="1" hidden="1">Locations!$D$1:$G$1</definedName>
    <definedName name="Z_3ABEB7E8_BD3D_48DE_BEE4_74EA23EB335A_.wvu.Rows" localSheetId="0" hidden="1">Estimator!$1:$1048576,Estimator!$65:$65548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8" i="16" l="1"/>
  <c r="D54" i="16" l="1"/>
  <c r="H6" i="16" l="1"/>
  <c r="K2" i="21" l="1"/>
  <c r="K3" i="21"/>
  <c r="K8" i="21" l="1"/>
  <c r="K16" i="21"/>
  <c r="K18" i="21" l="1"/>
  <c r="C8" i="21" l="1"/>
  <c r="H16" i="21" l="1"/>
  <c r="H9" i="21" l="1"/>
  <c r="C19" i="21" l="1"/>
  <c r="K14" i="21" s="1"/>
  <c r="C18" i="21"/>
  <c r="K13" i="21" s="1"/>
  <c r="C17" i="21"/>
  <c r="K12" i="21" s="1"/>
  <c r="C16" i="21"/>
  <c r="K11" i="21" s="1"/>
  <c r="C15" i="21"/>
  <c r="K10" i="21" s="1"/>
  <c r="D19" i="21" l="1"/>
  <c r="D18" i="21"/>
  <c r="D17" i="21"/>
  <c r="D16" i="21"/>
  <c r="D15" i="21"/>
  <c r="D14" i="21"/>
  <c r="D13" i="21"/>
  <c r="D7" i="21" l="1"/>
  <c r="C12" i="21"/>
  <c r="K17" i="21" s="1"/>
  <c r="D11" i="21"/>
  <c r="D10" i="21"/>
  <c r="D5" i="21"/>
  <c r="D3" i="21"/>
  <c r="E3" i="21" s="1"/>
  <c r="D2" i="21"/>
  <c r="C9" i="21"/>
  <c r="D8" i="21"/>
  <c r="C6" i="21"/>
  <c r="E32" i="17"/>
  <c r="E33" i="17"/>
  <c r="E34" i="17"/>
  <c r="E35" i="17"/>
  <c r="E36" i="17"/>
  <c r="E37" i="17"/>
  <c r="E38" i="17"/>
  <c r="E39" i="17"/>
  <c r="E40" i="17"/>
  <c r="E31" i="17"/>
  <c r="D9" i="21" l="1"/>
  <c r="K9" i="21"/>
  <c r="K15" i="21" s="1"/>
  <c r="E2" i="21"/>
  <c r="H2" i="21" s="1"/>
  <c r="D6" i="21"/>
  <c r="K6" i="21"/>
  <c r="K7" i="21" s="1"/>
  <c r="K19" i="21" s="1"/>
  <c r="K47" i="16" s="1"/>
  <c r="K4" i="21"/>
  <c r="D12" i="21"/>
  <c r="U7" i="21"/>
  <c r="U4" i="21"/>
  <c r="U5" i="21"/>
  <c r="U10" i="21"/>
  <c r="U11" i="21"/>
  <c r="U3" i="21"/>
  <c r="C4" i="21"/>
  <c r="K28" i="21" s="1"/>
  <c r="J49" i="16" l="1"/>
  <c r="J48" i="16"/>
  <c r="K48" i="16" s="1"/>
  <c r="D51" i="16"/>
  <c r="D47" i="16"/>
  <c r="K5" i="21"/>
  <c r="J47" i="16" s="1"/>
  <c r="B4" i="21"/>
  <c r="D4" i="21"/>
  <c r="J46" i="16" l="1"/>
  <c r="K49" i="16"/>
  <c r="H134" i="18"/>
  <c r="H135" i="18"/>
  <c r="H136" i="18"/>
  <c r="H137" i="18"/>
  <c r="H138" i="18"/>
  <c r="H139" i="18"/>
  <c r="H140" i="18"/>
  <c r="H141" i="18"/>
  <c r="H142" i="18"/>
  <c r="H143" i="18"/>
  <c r="H144" i="18"/>
  <c r="H145" i="18"/>
  <c r="H127" i="18" l="1"/>
  <c r="H115" i="18"/>
  <c r="H103" i="18"/>
  <c r="H91" i="18"/>
  <c r="H79" i="18"/>
  <c r="H67" i="18"/>
  <c r="H55" i="18"/>
  <c r="H43" i="18"/>
  <c r="H31" i="18"/>
  <c r="H19" i="18"/>
  <c r="H7" i="18"/>
  <c r="A10" i="18"/>
  <c r="A14" i="18"/>
  <c r="H133" i="18" l="1"/>
  <c r="H132" i="18"/>
  <c r="H131" i="18"/>
  <c r="H130" i="18"/>
  <c r="H129" i="18"/>
  <c r="H128" i="18"/>
  <c r="H126" i="18"/>
  <c r="H125" i="18"/>
  <c r="H124" i="18"/>
  <c r="H123" i="18"/>
  <c r="H122" i="18"/>
  <c r="H11" i="18"/>
  <c r="H119" i="18"/>
  <c r="H107" i="18"/>
  <c r="H95" i="18"/>
  <c r="H83" i="18"/>
  <c r="H71" i="18"/>
  <c r="H59" i="18"/>
  <c r="H47" i="18"/>
  <c r="H35" i="18"/>
  <c r="H23" i="18"/>
  <c r="A7" i="18"/>
  <c r="A13" i="18" l="1"/>
  <c r="A12" i="18"/>
  <c r="A11" i="18"/>
  <c r="A9" i="18"/>
  <c r="A8" i="18"/>
  <c r="A6" i="18"/>
  <c r="A5" i="18"/>
  <c r="A4" i="18"/>
  <c r="A3" i="18"/>
  <c r="A2" i="18"/>
  <c r="S134" i="18" l="1"/>
  <c r="S135" i="18"/>
  <c r="S136" i="18"/>
  <c r="S137" i="18"/>
  <c r="S138" i="18"/>
  <c r="S139" i="18"/>
  <c r="S140" i="18"/>
  <c r="S141" i="18"/>
  <c r="S142" i="18"/>
  <c r="S143" i="18"/>
  <c r="S144" i="18"/>
  <c r="S145" i="18"/>
  <c r="T134" i="18"/>
  <c r="T135" i="18"/>
  <c r="T136" i="18"/>
  <c r="T137" i="18"/>
  <c r="T138" i="18"/>
  <c r="T139" i="18"/>
  <c r="T140" i="18"/>
  <c r="T141" i="18"/>
  <c r="T142" i="18"/>
  <c r="T143" i="18"/>
  <c r="T144" i="18"/>
  <c r="T145" i="18"/>
  <c r="S127" i="18"/>
  <c r="T127" i="18"/>
  <c r="T115" i="18"/>
  <c r="S115" i="18"/>
  <c r="S103" i="18"/>
  <c r="T103" i="18"/>
  <c r="T91" i="18"/>
  <c r="S91" i="18"/>
  <c r="S79" i="18"/>
  <c r="T79" i="18"/>
  <c r="S67" i="18"/>
  <c r="T67" i="18"/>
  <c r="S55" i="18"/>
  <c r="T55" i="18"/>
  <c r="S43" i="18"/>
  <c r="T43" i="18"/>
  <c r="S31" i="18"/>
  <c r="T31" i="18"/>
  <c r="T19" i="18"/>
  <c r="S19" i="18"/>
  <c r="T8" i="18"/>
  <c r="T16" i="18"/>
  <c r="T25" i="18"/>
  <c r="T34" i="18"/>
  <c r="T42" i="18"/>
  <c r="T51" i="18"/>
  <c r="T60" i="18"/>
  <c r="T69" i="18"/>
  <c r="T77" i="18"/>
  <c r="T86" i="18"/>
  <c r="T95" i="18"/>
  <c r="T104" i="18"/>
  <c r="T112" i="18"/>
  <c r="T121" i="18"/>
  <c r="T130" i="18"/>
  <c r="S6" i="18"/>
  <c r="S15" i="18"/>
  <c r="S24" i="18"/>
  <c r="S33" i="18"/>
  <c r="S41" i="18"/>
  <c r="S50" i="18"/>
  <c r="S59" i="18"/>
  <c r="S68" i="18"/>
  <c r="S76" i="18"/>
  <c r="S85" i="18"/>
  <c r="S94" i="18"/>
  <c r="S102" i="18"/>
  <c r="S111" i="18"/>
  <c r="S120" i="18"/>
  <c r="S129" i="18"/>
  <c r="T9" i="18"/>
  <c r="T17" i="18"/>
  <c r="T26" i="18"/>
  <c r="T35" i="18"/>
  <c r="T44" i="18"/>
  <c r="T52" i="18"/>
  <c r="T61" i="18"/>
  <c r="T70" i="18"/>
  <c r="T78" i="18"/>
  <c r="T87" i="18"/>
  <c r="T96" i="18"/>
  <c r="T105" i="18"/>
  <c r="T113" i="18"/>
  <c r="T122" i="18"/>
  <c r="T131" i="18"/>
  <c r="S8" i="18"/>
  <c r="S16" i="18"/>
  <c r="S25" i="18"/>
  <c r="S34" i="18"/>
  <c r="S42" i="18"/>
  <c r="S51" i="18"/>
  <c r="S60" i="18"/>
  <c r="S69" i="18"/>
  <c r="S77" i="18"/>
  <c r="S86" i="18"/>
  <c r="S95" i="18"/>
  <c r="S104" i="18"/>
  <c r="S112" i="18"/>
  <c r="S121" i="18"/>
  <c r="S130" i="18"/>
  <c r="S62" i="18"/>
  <c r="S80" i="18"/>
  <c r="S132" i="18"/>
  <c r="S7" i="18"/>
  <c r="T7" i="18"/>
  <c r="T10" i="18"/>
  <c r="T18" i="18"/>
  <c r="T27" i="18"/>
  <c r="T36" i="18"/>
  <c r="T45" i="18"/>
  <c r="T53" i="18"/>
  <c r="T62" i="18"/>
  <c r="T71" i="18"/>
  <c r="T80" i="18"/>
  <c r="T88" i="18"/>
  <c r="T97" i="18"/>
  <c r="T106" i="18"/>
  <c r="T114" i="18"/>
  <c r="T123" i="18"/>
  <c r="T132" i="18"/>
  <c r="S9" i="18"/>
  <c r="S17" i="18"/>
  <c r="S26" i="18"/>
  <c r="S35" i="18"/>
  <c r="S44" i="18"/>
  <c r="S52" i="18"/>
  <c r="S61" i="18"/>
  <c r="S70" i="18"/>
  <c r="S78" i="18"/>
  <c r="S87" i="18"/>
  <c r="S96" i="18"/>
  <c r="S105" i="18"/>
  <c r="S113" i="18"/>
  <c r="S122" i="18"/>
  <c r="S131" i="18"/>
  <c r="T11" i="18"/>
  <c r="T20" i="18"/>
  <c r="T28" i="18"/>
  <c r="T37" i="18"/>
  <c r="T46" i="18"/>
  <c r="T54" i="18"/>
  <c r="T63" i="18"/>
  <c r="T72" i="18"/>
  <c r="T81" i="18"/>
  <c r="T89" i="18"/>
  <c r="T98" i="18"/>
  <c r="T107" i="18"/>
  <c r="T116" i="18"/>
  <c r="T124" i="18"/>
  <c r="T133" i="18"/>
  <c r="S10" i="18"/>
  <c r="S18" i="18"/>
  <c r="S27" i="18"/>
  <c r="S36" i="18"/>
  <c r="S53" i="18"/>
  <c r="S71" i="18"/>
  <c r="S88" i="18"/>
  <c r="S97" i="18"/>
  <c r="T2" i="18"/>
  <c r="S45" i="18"/>
  <c r="S123" i="18"/>
  <c r="T3" i="18"/>
  <c r="T12" i="18"/>
  <c r="T21" i="18"/>
  <c r="T29" i="18"/>
  <c r="T38" i="18"/>
  <c r="T47" i="18"/>
  <c r="T56" i="18"/>
  <c r="T64" i="18"/>
  <c r="T73" i="18"/>
  <c r="T82" i="18"/>
  <c r="T90" i="18"/>
  <c r="T99" i="18"/>
  <c r="T108" i="18"/>
  <c r="T117" i="18"/>
  <c r="T125" i="18"/>
  <c r="S2" i="18"/>
  <c r="S11" i="18"/>
  <c r="S20" i="18"/>
  <c r="S28" i="18"/>
  <c r="S37" i="18"/>
  <c r="S46" i="18"/>
  <c r="S54" i="18"/>
  <c r="S63" i="18"/>
  <c r="S72" i="18"/>
  <c r="S81" i="18"/>
  <c r="S89" i="18"/>
  <c r="S98" i="18"/>
  <c r="S107" i="18"/>
  <c r="S116" i="18"/>
  <c r="S124" i="18"/>
  <c r="S133" i="18"/>
  <c r="T126" i="18"/>
  <c r="S21" i="18"/>
  <c r="S38" i="18"/>
  <c r="S56" i="18"/>
  <c r="S73" i="18"/>
  <c r="S82" i="18"/>
  <c r="S99" i="18"/>
  <c r="S117" i="18"/>
  <c r="T76" i="18"/>
  <c r="T120" i="18"/>
  <c r="S14" i="18"/>
  <c r="S40" i="18"/>
  <c r="S75" i="18"/>
  <c r="S101" i="18"/>
  <c r="S128" i="18"/>
  <c r="S114" i="18"/>
  <c r="T4" i="18"/>
  <c r="T13" i="18"/>
  <c r="T22" i="18"/>
  <c r="T30" i="18"/>
  <c r="T39" i="18"/>
  <c r="T48" i="18"/>
  <c r="T57" i="18"/>
  <c r="T65" i="18"/>
  <c r="T74" i="18"/>
  <c r="T83" i="18"/>
  <c r="T92" i="18"/>
  <c r="T100" i="18"/>
  <c r="T109" i="18"/>
  <c r="T118" i="18"/>
  <c r="S3" i="18"/>
  <c r="S12" i="18"/>
  <c r="S29" i="18"/>
  <c r="S47" i="18"/>
  <c r="S64" i="18"/>
  <c r="S90" i="18"/>
  <c r="S108" i="18"/>
  <c r="S125" i="18"/>
  <c r="T33" i="18"/>
  <c r="T59" i="18"/>
  <c r="T85" i="18"/>
  <c r="T102" i="18"/>
  <c r="T129" i="18"/>
  <c r="S23" i="18"/>
  <c r="S49" i="18"/>
  <c r="S66" i="18"/>
  <c r="S93" i="18"/>
  <c r="S119" i="18"/>
  <c r="T5" i="18"/>
  <c r="T14" i="18"/>
  <c r="T23" i="18"/>
  <c r="T32" i="18"/>
  <c r="T40" i="18"/>
  <c r="T49" i="18"/>
  <c r="T58" i="18"/>
  <c r="T66" i="18"/>
  <c r="T75" i="18"/>
  <c r="T84" i="18"/>
  <c r="T93" i="18"/>
  <c r="T101" i="18"/>
  <c r="T110" i="18"/>
  <c r="T119" i="18"/>
  <c r="T128" i="18"/>
  <c r="S4" i="18"/>
  <c r="S13" i="18"/>
  <c r="S22" i="18"/>
  <c r="S30" i="18"/>
  <c r="S39" i="18"/>
  <c r="S48" i="18"/>
  <c r="S57" i="18"/>
  <c r="S65" i="18"/>
  <c r="S74" i="18"/>
  <c r="S83" i="18"/>
  <c r="S92" i="18"/>
  <c r="S100" i="18"/>
  <c r="S109" i="18"/>
  <c r="S118" i="18"/>
  <c r="S126" i="18"/>
  <c r="T15" i="18"/>
  <c r="T24" i="18"/>
  <c r="T41" i="18"/>
  <c r="T50" i="18"/>
  <c r="T68" i="18"/>
  <c r="T94" i="18"/>
  <c r="T111" i="18"/>
  <c r="S5" i="18"/>
  <c r="S32" i="18"/>
  <c r="S58" i="18"/>
  <c r="S84" i="18"/>
  <c r="S110" i="18"/>
  <c r="S106" i="18"/>
  <c r="T6" i="18"/>
  <c r="H121" i="18"/>
  <c r="H97" i="18"/>
  <c r="H117" i="18"/>
  <c r="H73" i="18"/>
  <c r="H61" i="18"/>
  <c r="H113" i="18"/>
  <c r="H37" i="18"/>
  <c r="H25" i="18"/>
  <c r="H13" i="18"/>
  <c r="H109" i="18"/>
  <c r="H108" i="18"/>
  <c r="H106" i="18"/>
  <c r="H105" i="18"/>
  <c r="H104" i="18"/>
  <c r="H102" i="18"/>
  <c r="H101" i="18"/>
  <c r="H100" i="18"/>
  <c r="H36" i="18"/>
  <c r="H99" i="18"/>
  <c r="H24" i="18"/>
  <c r="H98" i="18"/>
  <c r="H12" i="18"/>
  <c r="H118" i="18"/>
  <c r="H94" i="18"/>
  <c r="H70" i="18"/>
  <c r="H90" i="18"/>
  <c r="H89" i="18"/>
  <c r="H88" i="18"/>
  <c r="H34" i="18"/>
  <c r="H87" i="18"/>
  <c r="H22" i="18"/>
  <c r="H86" i="18"/>
  <c r="H10" i="18"/>
  <c r="H85" i="18"/>
  <c r="H82" i="18"/>
  <c r="H81" i="18"/>
  <c r="H78" i="18"/>
  <c r="H77" i="18"/>
  <c r="H76" i="18"/>
  <c r="H33" i="18"/>
  <c r="H75" i="18"/>
  <c r="H21" i="18"/>
  <c r="H74" i="18"/>
  <c r="H9" i="18"/>
  <c r="H72" i="18"/>
  <c r="H69" i="18"/>
  <c r="H68" i="18"/>
  <c r="H65" i="18"/>
  <c r="H64" i="18"/>
  <c r="H32" i="18"/>
  <c r="H63" i="18"/>
  <c r="H20" i="18"/>
  <c r="H62" i="18"/>
  <c r="H8" i="18"/>
  <c r="H114" i="18"/>
  <c r="H66" i="18"/>
  <c r="H54" i="18"/>
  <c r="H53" i="18"/>
  <c r="H52" i="18"/>
  <c r="H30" i="18"/>
  <c r="H51" i="18"/>
  <c r="H18" i="18"/>
  <c r="H50" i="18"/>
  <c r="H6" i="18"/>
  <c r="H49" i="18"/>
  <c r="H46" i="18"/>
  <c r="H44" i="18"/>
  <c r="H41" i="18"/>
  <c r="H40" i="18"/>
  <c r="H39" i="18"/>
  <c r="H38" i="18"/>
  <c r="H29" i="18"/>
  <c r="H28" i="18"/>
  <c r="H27" i="18"/>
  <c r="H26" i="18"/>
  <c r="H17" i="18"/>
  <c r="H16" i="18"/>
  <c r="H15" i="18"/>
  <c r="H14" i="18"/>
  <c r="H5" i="18"/>
  <c r="H4" i="18"/>
  <c r="H3" i="18"/>
  <c r="U122" i="18" l="1"/>
  <c r="U110" i="18"/>
  <c r="U98" i="18"/>
  <c r="U86" i="18"/>
  <c r="U8" i="18"/>
  <c r="U62" i="18"/>
  <c r="U11" i="18"/>
  <c r="U9" i="18"/>
  <c r="U74" i="18"/>
  <c r="U12" i="18"/>
  <c r="U10" i="18"/>
  <c r="U13" i="18"/>
  <c r="H2" i="18"/>
  <c r="H5" i="21" l="1"/>
  <c r="H28" i="21" s="1"/>
  <c r="H3" i="21"/>
  <c r="H22" i="21" l="1"/>
  <c r="H23" i="21"/>
  <c r="H20" i="21"/>
  <c r="H21" i="21"/>
  <c r="H19" i="21"/>
  <c r="H4" i="21"/>
  <c r="D46" i="16" s="1"/>
  <c r="D60" i="16"/>
  <c r="H6" i="21"/>
  <c r="D50" i="16" s="1"/>
  <c r="H12" i="21"/>
  <c r="H15" i="21" l="1"/>
  <c r="H8" i="21"/>
  <c r="H7" i="21"/>
  <c r="H13" i="21"/>
  <c r="H18" i="21" s="1"/>
  <c r="H14" i="21"/>
  <c r="K20" i="21" l="1"/>
  <c r="F47" i="16"/>
  <c r="F51" i="16"/>
  <c r="F44" i="16"/>
  <c r="H11" i="21"/>
  <c r="F50" i="16" s="1"/>
  <c r="H10" i="21"/>
  <c r="F46" i="16" s="1"/>
  <c r="H17" i="21"/>
  <c r="F48" i="16" l="1"/>
  <c r="F52" i="16"/>
  <c r="H24" i="21"/>
  <c r="D56" i="16" l="1"/>
  <c r="F54" i="16"/>
  <c r="H26" i="21"/>
  <c r="H29" i="21" s="1"/>
  <c r="H25" i="21"/>
  <c r="F56" i="16" s="1"/>
  <c r="D57" i="16" l="1"/>
  <c r="H27" i="21"/>
  <c r="F57" i="16" s="1"/>
  <c r="F59" i="16" l="1"/>
  <c r="F62" i="16" s="1"/>
  <c r="H53" i="16" s="1"/>
  <c r="F63" i="16" l="1"/>
  <c r="J52" i="16" s="1"/>
  <c r="D6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3" authorId="0" shapeId="0" xr:uid="{26B8CCB1-AA48-459B-A71B-C650E899965E}">
      <text>
        <r>
          <rPr>
            <b/>
            <sz val="9"/>
            <color indexed="81"/>
            <rFont val="Tahoma"/>
            <family val="2"/>
          </rPr>
          <t>Only apply multiple once for sea &amp; river</t>
        </r>
      </text>
    </comment>
  </commentList>
</comments>
</file>

<file path=xl/sharedStrings.xml><?xml version="1.0" encoding="utf-8"?>
<sst xmlns="http://schemas.openxmlformats.org/spreadsheetml/2006/main" count="1452" uniqueCount="490">
  <si>
    <t>Draught:</t>
  </si>
  <si>
    <t>Beam:</t>
  </si>
  <si>
    <t>Calculated Charges:</t>
  </si>
  <si>
    <t>Comments</t>
  </si>
  <si>
    <t>Sea Charge:</t>
  </si>
  <si>
    <t>Specialist Pilot Charge</t>
  </si>
  <si>
    <t>River Charge:</t>
  </si>
  <si>
    <t>Boarding &amp; Landing:</t>
  </si>
  <si>
    <t>NE Spit</t>
  </si>
  <si>
    <t>Sunk</t>
  </si>
  <si>
    <t>Warps</t>
  </si>
  <si>
    <t>Medway</t>
  </si>
  <si>
    <t>Harbour Service Launch</t>
  </si>
  <si>
    <t>Gravesend</t>
  </si>
  <si>
    <t>•</t>
  </si>
  <si>
    <t>Journey</t>
  </si>
  <si>
    <t xml:space="preserve">LOA (m) </t>
  </si>
  <si>
    <t>Band 1</t>
  </si>
  <si>
    <t>Band 2</t>
  </si>
  <si>
    <t>Band 3</t>
  </si>
  <si>
    <t>Band 4</t>
  </si>
  <si>
    <t>Band 5</t>
  </si>
  <si>
    <t>Band 6</t>
  </si>
  <si>
    <t>Band 7</t>
  </si>
  <si>
    <t>Band 8</t>
  </si>
  <si>
    <t>Band 9</t>
  </si>
  <si>
    <t>Band 10</t>
  </si>
  <si>
    <t>Up to 95m</t>
  </si>
  <si>
    <t>95.01 to 135m</t>
  </si>
  <si>
    <t>135.01 to 175m</t>
  </si>
  <si>
    <t>175.01 to 215m</t>
  </si>
  <si>
    <t>215.01 to 255m</t>
  </si>
  <si>
    <t>255.01 to 295m</t>
  </si>
  <si>
    <t>295.01 to 335m</t>
  </si>
  <si>
    <t>335.01 to 375m</t>
  </si>
  <si>
    <t>375.01 to 390m</t>
  </si>
  <si>
    <t>Above 390m</t>
  </si>
  <si>
    <t>_SN1</t>
  </si>
  <si>
    <t>Oil / LGW</t>
  </si>
  <si>
    <t>_SN2</t>
  </si>
  <si>
    <t>_SN3</t>
  </si>
  <si>
    <t>_SN4</t>
  </si>
  <si>
    <t>Sector A</t>
  </si>
  <si>
    <t>_SS1</t>
  </si>
  <si>
    <t>_SS2</t>
  </si>
  <si>
    <t>_SS3</t>
  </si>
  <si>
    <t>_SS4</t>
  </si>
  <si>
    <t>_SW1</t>
  </si>
  <si>
    <t>Warps / Medway</t>
  </si>
  <si>
    <t>Oil/LGW</t>
  </si>
  <si>
    <t>_SW2</t>
  </si>
  <si>
    <t>_SW3</t>
  </si>
  <si>
    <t>_SM1</t>
  </si>
  <si>
    <t>_SM2</t>
  </si>
  <si>
    <t>_SO1</t>
  </si>
  <si>
    <t>Garr Pt</t>
  </si>
  <si>
    <t>_SO2</t>
  </si>
  <si>
    <t>_SO3</t>
  </si>
  <si>
    <t>_RG1</t>
  </si>
  <si>
    <t>_RG2</t>
  </si>
  <si>
    <t>Sector B</t>
  </si>
  <si>
    <t>_RG3</t>
  </si>
  <si>
    <t>Sector C</t>
  </si>
  <si>
    <t>_RG5</t>
  </si>
  <si>
    <t>Sector D</t>
  </si>
  <si>
    <t>Boarding &amp; Landing Rates</t>
  </si>
  <si>
    <t>RoRo vessels will receive a 25% discount.</t>
  </si>
  <si>
    <t>LOA Up To</t>
  </si>
  <si>
    <t>NESpit/Warp/Medway</t>
  </si>
  <si>
    <t>HSL</t>
  </si>
  <si>
    <t>Vessels going via Long Sand Head will use the Sunk rate.</t>
  </si>
  <si>
    <t>Banding</t>
  </si>
  <si>
    <t>LOA</t>
  </si>
  <si>
    <t>Discount</t>
  </si>
  <si>
    <t>Vessel Type</t>
  </si>
  <si>
    <t>RoRo</t>
  </si>
  <si>
    <t>RO</t>
  </si>
  <si>
    <t>Specialist Pilot</t>
  </si>
  <si>
    <t>Draught</t>
  </si>
  <si>
    <t>Unit Price (£)</t>
  </si>
  <si>
    <t>-</t>
  </si>
  <si>
    <t>PF</t>
  </si>
  <si>
    <t>Container2</t>
  </si>
  <si>
    <t>CC</t>
  </si>
  <si>
    <t>Tanker1</t>
  </si>
  <si>
    <t>TA</t>
  </si>
  <si>
    <t>Oil Tanker/Gas Carrier above 200m LOA, or 11m Draught or more.</t>
  </si>
  <si>
    <t>Tanker2</t>
  </si>
  <si>
    <t>Location Name</t>
  </si>
  <si>
    <t>Sector</t>
  </si>
  <si>
    <t>Code</t>
  </si>
  <si>
    <t>SeaRate</t>
  </si>
  <si>
    <t>RiverRate</t>
  </si>
  <si>
    <t>BLNES</t>
  </si>
  <si>
    <t>BLWARP</t>
  </si>
  <si>
    <t>BLMEDWY</t>
  </si>
  <si>
    <t>BLSUNK</t>
  </si>
  <si>
    <t>BLGSND</t>
  </si>
  <si>
    <t>BLHSL</t>
  </si>
  <si>
    <t>FromCode</t>
  </si>
  <si>
    <t>Tocode</t>
  </si>
  <si>
    <t>FromName</t>
  </si>
  <si>
    <t>ToName</t>
  </si>
  <si>
    <t>Comments (Formula)</t>
  </si>
  <si>
    <t>R</t>
  </si>
  <si>
    <t>From</t>
  </si>
  <si>
    <t>N/A</t>
  </si>
  <si>
    <t>Shift</t>
  </si>
  <si>
    <t>A</t>
  </si>
  <si>
    <t>H</t>
  </si>
  <si>
    <t>To</t>
  </si>
  <si>
    <t>B</t>
  </si>
  <si>
    <t>Warp</t>
  </si>
  <si>
    <t>W</t>
  </si>
  <si>
    <t>Lookup code</t>
  </si>
  <si>
    <t>C</t>
  </si>
  <si>
    <t>M</t>
  </si>
  <si>
    <t>D</t>
  </si>
  <si>
    <t>Oil Terminal / LGW</t>
  </si>
  <si>
    <t>O</t>
  </si>
  <si>
    <t>Thru</t>
  </si>
  <si>
    <t>G</t>
  </si>
  <si>
    <t>Chapmans Anchor</t>
  </si>
  <si>
    <t>Z</t>
  </si>
  <si>
    <t>T</t>
  </si>
  <si>
    <t>Garrisons Pt</t>
  </si>
  <si>
    <t>NESBL</t>
  </si>
  <si>
    <t>WARPBL</t>
  </si>
  <si>
    <t>Tilbury2</t>
  </si>
  <si>
    <t>MEDWYBL</t>
  </si>
  <si>
    <t>GSNDBL</t>
  </si>
  <si>
    <t>SUNKBL</t>
  </si>
  <si>
    <t>HSLBL</t>
  </si>
  <si>
    <t>TilburyLock</t>
  </si>
  <si>
    <t>2nd Pilot</t>
  </si>
  <si>
    <t>DG</t>
  </si>
  <si>
    <t>DM</t>
  </si>
  <si>
    <t>DR</t>
  </si>
  <si>
    <t>GH</t>
  </si>
  <si>
    <t>GM</t>
  </si>
  <si>
    <t>GO</t>
  </si>
  <si>
    <t>GR</t>
  </si>
  <si>
    <t>MH</t>
  </si>
  <si>
    <t>MR</t>
  </si>
  <si>
    <t>OH</t>
  </si>
  <si>
    <t>OM</t>
  </si>
  <si>
    <t>OR</t>
  </si>
  <si>
    <t>WA</t>
  </si>
  <si>
    <t>WB</t>
  </si>
  <si>
    <t>WC</t>
  </si>
  <si>
    <t>WH</t>
  </si>
  <si>
    <t>WR</t>
  </si>
  <si>
    <t>Oil Tanker/Gas Carrier above 225m LOA, and 12.5m Draught or more. 2 Pilots, so 2x Pilot charge &amp; 2x B&amp;L.</t>
  </si>
  <si>
    <t>Container Ship above 345m LOA. 2 Pilots, so 2x Pilot charge &amp; 2x B&amp;L.</t>
  </si>
  <si>
    <t>Cruise Ship above 210m LOA. 2 Pilots, so 2x Pilot charge &amp; 2x B&amp;L.</t>
  </si>
  <si>
    <t>Cruise2</t>
  </si>
  <si>
    <t>Estuary Charge</t>
  </si>
  <si>
    <t>GT</t>
  </si>
  <si>
    <t>Non-LNG</t>
  </si>
  <si>
    <t>LNG</t>
  </si>
  <si>
    <t>Liquid Natural Gas Carrier</t>
  </si>
  <si>
    <t>Class 1</t>
  </si>
  <si>
    <t>Class 2:  Ro-Ro</t>
  </si>
  <si>
    <t>Class 2:  Cruise</t>
  </si>
  <si>
    <t>Min charge</t>
  </si>
  <si>
    <t>Price per GT</t>
  </si>
  <si>
    <t>ESI conservancy charge discount (pts)</t>
  </si>
  <si>
    <t>Zero emissions</t>
  </si>
  <si>
    <t>(inclusive of the Estuary charge) applies to each chargeable voyage for vessels discharging / loading within PLA limits.</t>
  </si>
  <si>
    <t>following an approved application to the PLA in writing. Evidence will need to be provided in support of such a claim. The</t>
  </si>
  <si>
    <t>Conservancy Charge (vessels)</t>
  </si>
  <si>
    <t>Conservancy Charge (cargo)</t>
  </si>
  <si>
    <t>a</t>
  </si>
  <si>
    <t>b</t>
  </si>
  <si>
    <t>Mineral oils and products of their distillation; bituminous substances, mineral waxes, hydrogen based products:</t>
  </si>
  <si>
    <t>per tonne</t>
  </si>
  <si>
    <t>All other goods</t>
  </si>
  <si>
    <t>per unit</t>
  </si>
  <si>
    <t>POA</t>
  </si>
  <si>
    <t>1 Goods other than containers / trailers</t>
  </si>
  <si>
    <t>2 Containers</t>
  </si>
  <si>
    <t>3 Trailers</t>
  </si>
  <si>
    <t>4 Overdue Manifest Fee</t>
  </si>
  <si>
    <t>Total</t>
  </si>
  <si>
    <t>Chargeable on all manifests not received
within 72 hours of the vessel arriving or
leaving PLA limits.</t>
  </si>
  <si>
    <t>Additional Conservancy Charge on specific oil.</t>
  </si>
  <si>
    <t>1 Mineral Oils</t>
  </si>
  <si>
    <t>2 Animal/Vegetable Oils</t>
  </si>
  <si>
    <t>(excluding petroleum coke and similar
products)</t>
  </si>
  <si>
    <t>Extra Charges</t>
  </si>
  <si>
    <t>ETA/ETD Surcharge</t>
  </si>
  <si>
    <t>Detention</t>
  </si>
  <si>
    <t>£252 per pilot per hour</t>
  </si>
  <si>
    <t>Baulk tide/ cancellations</t>
  </si>
  <si>
    <t>£252 per hr (min 2 hrs)</t>
  </si>
  <si>
    <t>Safe pilot access/egress</t>
  </si>
  <si>
    <t>Tripping Charges</t>
  </si>
  <si>
    <t>The charge is applicable to both inward and outward fully exempt voyages but not to part piloted voyages,</t>
  </si>
  <si>
    <t>TOSCA</t>
  </si>
  <si>
    <t>Cargo</t>
  </si>
  <si>
    <t>Gross Tonnage</t>
  </si>
  <si>
    <t>TRUE/FALSE</t>
  </si>
  <si>
    <t>Goods Type</t>
  </si>
  <si>
    <t>1b All other goods</t>
  </si>
  <si>
    <t>1a Mineral oils and products of their distillation; bituminous substances, mineral waxes, hydrogen based products</t>
  </si>
  <si>
    <t>Pilotage</t>
  </si>
  <si>
    <t>Passenger Ferry</t>
  </si>
  <si>
    <t>Oil/Gas Tanker</t>
  </si>
  <si>
    <t>Container Ship</t>
  </si>
  <si>
    <t>Other</t>
  </si>
  <si>
    <t>Beam</t>
  </si>
  <si>
    <t>Input (numeric)</t>
  </si>
  <si>
    <t>Tilbury Lock</t>
  </si>
  <si>
    <t>Data Type</t>
  </si>
  <si>
    <t>Location</t>
  </si>
  <si>
    <t>Vessel</t>
  </si>
  <si>
    <t>From/To</t>
  </si>
  <si>
    <t>Options</t>
  </si>
  <si>
    <t>ESI</t>
  </si>
  <si>
    <t>Zero Emissions</t>
  </si>
  <si>
    <t>Units</t>
  </si>
  <si>
    <t>Type</t>
  </si>
  <si>
    <t>1 Mineral Oils (excluding petroleum coke and similar products)</t>
  </si>
  <si>
    <t>LNG Carrier</t>
  </si>
  <si>
    <t>Cruise ship</t>
  </si>
  <si>
    <t>ESI 30pts+</t>
  </si>
  <si>
    <t>ESI 50pts+</t>
  </si>
  <si>
    <t>From (select)</t>
  </si>
  <si>
    <t>To (select)</t>
  </si>
  <si>
    <t>Vessel Type (select)</t>
  </si>
  <si>
    <t>Tilbury (select)</t>
  </si>
  <si>
    <t>ESI (select)</t>
  </si>
  <si>
    <t>Yes</t>
  </si>
  <si>
    <t>PNPF Levy</t>
  </si>
  <si>
    <t>Gross Tonnage:  Vessel</t>
  </si>
  <si>
    <t>Tonnage:  Cargo</t>
  </si>
  <si>
    <t>Vessel GT</t>
  </si>
  <si>
    <t>Cargo Tonnage</t>
  </si>
  <si>
    <t>Goods only</t>
  </si>
  <si>
    <t>Containers only</t>
  </si>
  <si>
    <t>Unit Size</t>
  </si>
  <si>
    <t>extra pilotage charge (£7k)</t>
  </si>
  <si>
    <t>Cargo Type (select)</t>
  </si>
  <si>
    <t>No of Units</t>
  </si>
  <si>
    <t>TOSCA Type (select)</t>
  </si>
  <si>
    <t>TOSCA Tonnage</t>
  </si>
  <si>
    <t>Inputs</t>
  </si>
  <si>
    <t>Choice</t>
  </si>
  <si>
    <t>x</t>
  </si>
  <si>
    <t>na</t>
  </si>
  <si>
    <t>Adjustment</t>
  </si>
  <si>
    <t>Charge</t>
  </si>
  <si>
    <t>Value</t>
  </si>
  <si>
    <t>Field</t>
  </si>
  <si>
    <t>Cargo Type</t>
  </si>
  <si>
    <t>TOSCA Type</t>
  </si>
  <si>
    <t>Label</t>
  </si>
  <si>
    <t>Vessels using the Long Sand Head route should select "Sunk".</t>
  </si>
  <si>
    <t xml:space="preserve"> (m)</t>
  </si>
  <si>
    <t>Vessel Type:</t>
  </si>
  <si>
    <t>Containers</t>
  </si>
  <si>
    <t>Trailers</t>
  </si>
  <si>
    <t>Goods:  All other goods</t>
  </si>
  <si>
    <t>Cargo Details</t>
  </si>
  <si>
    <t xml:space="preserve"> (t)</t>
  </si>
  <si>
    <t>Cargo Tonnage:</t>
  </si>
  <si>
    <t>ESI Score 30pts+</t>
  </si>
  <si>
    <t>ESI Score 50pts+</t>
  </si>
  <si>
    <t>Zero Emissions Ship</t>
  </si>
  <si>
    <t>*Voyage From:</t>
  </si>
  <si>
    <t>*Voyage To:</t>
  </si>
  <si>
    <t>**Cargo Type:</t>
  </si>
  <si>
    <t>Goods:  Mineral oils &amp; products**</t>
  </si>
  <si>
    <t>*Sector A: Gravesend Reach (Upper) to Crayford Ness;  Sector B: Crayford Ness to Margaret Ness;  Sector C: Margaret Ness to Deptford Creek;  Sector D: Deptford Creek to Putney Bridge</t>
  </si>
  <si>
    <t>Input</t>
  </si>
  <si>
    <t>Input Description</t>
  </si>
  <si>
    <t>TOSCA Mineral</t>
  </si>
  <si>
    <t>TOSCA Animal/Vegetable</t>
  </si>
  <si>
    <t>Lookup</t>
  </si>
  <si>
    <t>Unitised (containers/trailers)</t>
  </si>
  <si>
    <t>Up to 20ft</t>
  </si>
  <si>
    <t>Up to 30ft</t>
  </si>
  <si>
    <t>Up to 40ft</t>
  </si>
  <si>
    <t>Up to 45ft</t>
  </si>
  <si>
    <t>Size</t>
  </si>
  <si>
    <t>Goods Visible</t>
  </si>
  <si>
    <t>Units Visible</t>
  </si>
  <si>
    <t>Sea Rate Code</t>
  </si>
  <si>
    <t>River Rate Code</t>
  </si>
  <si>
    <t>RoRo Discount applied</t>
  </si>
  <si>
    <t>Sea Band</t>
  </si>
  <si>
    <t>River Band</t>
  </si>
  <si>
    <t>Pilots Required</t>
  </si>
  <si>
    <t>Total Charge (all pilots)</t>
  </si>
  <si>
    <t>Specialist Pilot Required</t>
  </si>
  <si>
    <t>Spec Pilot Type</t>
  </si>
  <si>
    <t>LNG Pilot</t>
  </si>
  <si>
    <t>LNG Tanker surcharge per pilot</t>
  </si>
  <si>
    <t>Sea Charge</t>
  </si>
  <si>
    <t>Lookup using concatenated journey from locations table</t>
  </si>
  <si>
    <t>If Sea Rate Code &lt;&gt; ("",NA,shift) then lookup Band in Prices sheet using LOA</t>
  </si>
  <si>
    <t>If River Rate Code &lt;&gt; ("",NA,shift) then lookup Band in Prices sheet using LOA</t>
  </si>
  <si>
    <t>Lookup Price in Prices table using Sea Band &amp; Journey, if RoRo multiply by 0.75, then if 2 pilots required multiply by 2</t>
  </si>
  <si>
    <t>River Charge</t>
  </si>
  <si>
    <t>Lookup Price in Prices table using River Band &amp; Journey, if RoRo multiply by 0.75, then if 2 pilots required multiply by 2</t>
  </si>
  <si>
    <t>Methodology</t>
  </si>
  <si>
    <t>Lookup Vessel Type, LOA, Beam in Prices sheet. (Note:  Cruise Ship=River, Tanker/Container=Sea)</t>
  </si>
  <si>
    <t>Spec. Pilot Charge</t>
  </si>
  <si>
    <t>Boarding &amp; Landing Charge</t>
  </si>
  <si>
    <t>Sea Charge per pilot</t>
  </si>
  <si>
    <t>River Charge per pilot</t>
  </si>
  <si>
    <t>B&amp;L1 Name</t>
  </si>
  <si>
    <t>B&amp;L2 Name</t>
  </si>
  <si>
    <t>If either From/To = "shift" then 0, lookup charge from Prices sheet using LOA.  Multiply by 2 for 2 pilots but Gravesend for Cruise ships only</t>
  </si>
  <si>
    <t>Class</t>
  </si>
  <si>
    <t>Vessel Estuary Charge</t>
  </si>
  <si>
    <t>1a</t>
  </si>
  <si>
    <t>1b</t>
  </si>
  <si>
    <t>Cargo Conservancy Charge</t>
  </si>
  <si>
    <t>price per tonne</t>
  </si>
  <si>
    <t>Mineral Oils (excluding petroleum coke and similar
products)</t>
  </si>
  <si>
    <t>T.O.S.C.A. Charge</t>
  </si>
  <si>
    <t>Pilotage Exemption Certificate Holder Tripping Charges</t>
  </si>
  <si>
    <t>Price</t>
  </si>
  <si>
    <t>Total Price</t>
  </si>
  <si>
    <t>Tripping charges apply to all vessels subject to compulsory pilotage
but exempt by reason of being navigated by a pilotage exemption
certificate holder.
The charge is applicable to both inward and outward fully exempt
voyages but not to part piloted voyages, in which case pilotage in
accordance with Schedule A will apply.</t>
  </si>
  <si>
    <t>Applicable to vessels discharging / loading within PLA port limits</t>
  </si>
  <si>
    <t>A minimum charge of £33.00 (inclusive of the Estuary charge) applies to each chargeable voyage for vessels discharging / loading within PLA limits.</t>
  </si>
  <si>
    <t>Containers (ft)</t>
  </si>
  <si>
    <t>Unit</t>
  </si>
  <si>
    <t>Price Point</t>
  </si>
  <si>
    <t>Class 1 (All vessels other than Class II)</t>
  </si>
  <si>
    <t>Applicable to all vessel arrivals from outside PLA port limits</t>
  </si>
  <si>
    <t>LNG Pilot Surcharge</t>
  </si>
  <si>
    <t>Estuary Charge Rate</t>
  </si>
  <si>
    <t>Vessel Conservancy Charge Rate</t>
  </si>
  <si>
    <t>Vessel Conservancy Charge</t>
  </si>
  <si>
    <t>Goods Charge Rate</t>
  </si>
  <si>
    <t>Up to 20 ft</t>
  </si>
  <si>
    <t>Goods Charge</t>
  </si>
  <si>
    <t>TOSCA Charge Rate</t>
  </si>
  <si>
    <t>TOSCA Charge</t>
  </si>
  <si>
    <t>Through Pilot</t>
  </si>
  <si>
    <t>If From or To = Section A and any of LOA&gt;=160, Draught&gt;=8,Beam&gt;=25,Tilbury Lock=TRUE then No else Yes</t>
  </si>
  <si>
    <t>per pilot</t>
  </si>
  <si>
    <t>Total Boarding &amp; Landing Charge</t>
  </si>
  <si>
    <t>ESI (if applic.):</t>
  </si>
  <si>
    <t>Gross Tonnage:</t>
  </si>
  <si>
    <t>LOA:</t>
  </si>
  <si>
    <t>Up to 30 ft</t>
  </si>
  <si>
    <t>Up to 40 ft</t>
  </si>
  <si>
    <t>Up to 45 ft</t>
  </si>
  <si>
    <t>ESI Applicable Rate</t>
  </si>
  <si>
    <t>Total Cargo Charge</t>
  </si>
  <si>
    <t>Notes</t>
  </si>
  <si>
    <t>Conservancy (Loading/Discharge)</t>
  </si>
  <si>
    <t>Conservancy (Cargo)</t>
  </si>
  <si>
    <t>T.O.S.C.A.</t>
  </si>
  <si>
    <t>RoRo Discount Sea</t>
  </si>
  <si>
    <t>RoRo Discount River</t>
  </si>
  <si>
    <t>Mandatory pilotage fields OK</t>
  </si>
  <si>
    <r>
      <t xml:space="preserve">Standard Additional Charges  </t>
    </r>
    <r>
      <rPr>
        <sz val="10"/>
        <rFont val="Calibri"/>
        <family val="2"/>
        <scheme val="minor"/>
      </rPr>
      <t>(requires cargo details to be completed above)</t>
    </r>
  </si>
  <si>
    <t>n/a</t>
  </si>
  <si>
    <t>1 Mineral Oils (excl. petroleum coke &amp; similar)</t>
  </si>
  <si>
    <t>TOSCA Value</t>
  </si>
  <si>
    <t>B&amp;L Fuel Surcharge</t>
  </si>
  <si>
    <t>Fuel Surcharge</t>
  </si>
  <si>
    <t>LNG Pilot Extra Charge</t>
  </si>
  <si>
    <t>B&amp;L1 Charge</t>
  </si>
  <si>
    <t>B&amp;L2 Charge</t>
  </si>
  <si>
    <t>ESI Discount Value</t>
  </si>
  <si>
    <t>No Cargo information</t>
  </si>
  <si>
    <t>Total Pilotage Charge (one-way)</t>
  </si>
  <si>
    <t>27 - Mineral fuels, mineral oils and products of their distillation</t>
  </si>
  <si>
    <t>https://oec.world/en/product-landing/hs</t>
  </si>
  <si>
    <t>27.01 - Coal Briquettes</t>
  </si>
  <si>
    <t>27.01.11 - Anthracite, not agglomerated</t>
  </si>
  <si>
    <t>27.01.12 - Bituminous coal, not agglomerated</t>
  </si>
  <si>
    <t>27.01.19 - Coal except anthracite or bituminous, not agglomerate</t>
  </si>
  <si>
    <t>27.01.20 - Coal briquettes, ovoids, similar made solid fuels</t>
  </si>
  <si>
    <t>27.02 - Lignite</t>
  </si>
  <si>
    <t>27.02.10 - Lignite, not agglomerated</t>
  </si>
  <si>
    <t>27.02.20 - Lignite, agglomerated</t>
  </si>
  <si>
    <t>27.03 - Peat</t>
  </si>
  <si>
    <t>27.03.00 - Peat (including peat litter)</t>
  </si>
  <si>
    <t>27.04 - Coke</t>
  </si>
  <si>
    <t>27.04.00 - Coke, semi-coke of coal, lignite, peat &amp; retort carbo</t>
  </si>
  <si>
    <t>27.05 - Non-Petroleum Gas</t>
  </si>
  <si>
    <t>27.05.00 - Coal gas, water gas, etc. (not gaseous hydrocarbons)</t>
  </si>
  <si>
    <t>27.06 - Tar</t>
  </si>
  <si>
    <t>27.06.00 - Tar from coal, lignite or peat, other mineral tars</t>
  </si>
  <si>
    <t>27.07 - Coal Tar Oil</t>
  </si>
  <si>
    <t>27.07.10 - Benzol</t>
  </si>
  <si>
    <t>27.07.20 - Toluole</t>
  </si>
  <si>
    <t>27.07.30 - Xylole</t>
  </si>
  <si>
    <t>27.07.40 - Naphthalene</t>
  </si>
  <si>
    <t>27.07.50 - Aromatic hydrocarbon mixtures from coal tar, nes</t>
  </si>
  <si>
    <t>27.07.60 - Phenols</t>
  </si>
  <si>
    <t>27.07.91 - Creosote oils</t>
  </si>
  <si>
    <t>27.07.99 - Coal tar distillation products nes</t>
  </si>
  <si>
    <t>27.08 - Pitch Coke</t>
  </si>
  <si>
    <t>27.08.10 - Pitch</t>
  </si>
  <si>
    <t>27.08.20 - Pitch coke</t>
  </si>
  <si>
    <t>27.09 - Crude Petroleum</t>
  </si>
  <si>
    <t>27.09.00 - Petroleum oils, oils from bituminous minerals, crude</t>
  </si>
  <si>
    <t>27.10 - Refined Petroleum</t>
  </si>
  <si>
    <t>27.10.00 - Oils petroleum, bituminous, distillates, except crude</t>
  </si>
  <si>
    <t>27.10.11 - Aviation spirit</t>
  </si>
  <si>
    <t>27.10.12 - Petroleum spirit for motor vehicles</t>
  </si>
  <si>
    <t>27.10.13 - Petroleum spirit except aviation or motor fuel</t>
  </si>
  <si>
    <t>27.10.14 - Petroleum spirit-type fuel</t>
  </si>
  <si>
    <t>27.10.15 - White spirit</t>
  </si>
  <si>
    <t>27.10.16 - Petroleum naphtha</t>
  </si>
  <si>
    <t>27.10.19 - Light petroleum distillates nes</t>
  </si>
  <si>
    <t>27.10.20 - Petroleum oils and oils from bituminous minerals, containing biodiesel, not crude, not waste oils; preparations n.e.c, containing by weight 70% or more of petroleum oils or oils from bituminous minerals</t>
  </si>
  <si>
    <t>27.10.21 - Kerosene jet fuel</t>
  </si>
  <si>
    <t>27.10.22 - Kerosene, for furnaces</t>
  </si>
  <si>
    <t>27.10.25 - Kerosene lamp oil, motor kerosene, light diesel, etc</t>
  </si>
  <si>
    <t>27.10.26 - Gas oils - bunker oil, No.1 furnace, motor diesel</t>
  </si>
  <si>
    <t>27.10.27 - Diesel oils- No.2 furnace, marine diesel</t>
  </si>
  <si>
    <t>27.10.29 - Fuel oils nes, heavy distillates</t>
  </si>
  <si>
    <t>27.10.91 - Heavy furnace oil (heating or motor fuel) &lt;1% sulphur</t>
  </si>
  <si>
    <t>27.10.93 - Heavy furnace oil nes</t>
  </si>
  <si>
    <t>27.10.94 - Petroleum oil used in road building</t>
  </si>
  <si>
    <t>27.10.95 - Petroleum lubricating oils</t>
  </si>
  <si>
    <t>27.10.96 - Petroleum lubricating greases</t>
  </si>
  <si>
    <t>27.10.99 - Petroleum oils and products nes</t>
  </si>
  <si>
    <t>27.11 - Petroleum Gas</t>
  </si>
  <si>
    <t>27.11.11 - Natural gas, liquefied</t>
  </si>
  <si>
    <t>27.11.12 - Propane, liquefied</t>
  </si>
  <si>
    <t>27.11.13 - Butanes, liquefied</t>
  </si>
  <si>
    <t>27.11.14 - Ethylene, propylene, butylene, butadiene, liquefied</t>
  </si>
  <si>
    <t>27.11.19 - Petroleum gases &amp; gaseous hydrocarbons nes, liquefied</t>
  </si>
  <si>
    <t>27.11.21 - Natural gas in gaseous state</t>
  </si>
  <si>
    <t>27.11.29 - Petroleum gases and gaseous hydrocarbons nes, as gas</t>
  </si>
  <si>
    <t>27.12 - Petroleum Jelly</t>
  </si>
  <si>
    <t>27.12.10 - Petroleum jelly</t>
  </si>
  <si>
    <t>27.12.20 - Paraffin wax containing &lt;0.75% oil</t>
  </si>
  <si>
    <t>27.12.90 - Mineral waxes nes</t>
  </si>
  <si>
    <t>27.13 - Petroleum Coke</t>
  </si>
  <si>
    <t>27.13.11 - Petroleum coke, not calcined</t>
  </si>
  <si>
    <t>27.13.12 - Petroleum coke, calcined</t>
  </si>
  <si>
    <t>27.13.20 - Petroleum bitumen</t>
  </si>
  <si>
    <t>27.13.90 - Residues of petroleum oils etc. nes</t>
  </si>
  <si>
    <t>27.14 - Bitumen and asphalt</t>
  </si>
  <si>
    <t>27.14.10 - Bituminous or oil shale and tar sands</t>
  </si>
  <si>
    <t>27.14.90 - Bitumen and asphalt, asphaltites and asphaltic rocks</t>
  </si>
  <si>
    <t>27.15 - Asphalt Mixtures</t>
  </si>
  <si>
    <t>27.15.00 - Bituminous mix, mastic from asphalt, bitumen/tar/pitc</t>
  </si>
  <si>
    <t>27.16 - Electricity</t>
  </si>
  <si>
    <t>27.16.00 - Electrical energy</t>
  </si>
  <si>
    <t>Group</t>
  </si>
  <si>
    <t>Cat</t>
  </si>
  <si>
    <t>Item</t>
  </si>
  <si>
    <t>Mineral Oils (TOSCA)</t>
  </si>
  <si>
    <t>Animal/Vegetable Oils (TOSCA)</t>
  </si>
  <si>
    <t>Petroleum coke &amp; similar products</t>
  </si>
  <si>
    <t>Other Goods</t>
  </si>
  <si>
    <t>Unitesd (containers/trailers)</t>
  </si>
  <si>
    <t>Cargo Type:</t>
  </si>
  <si>
    <t>Number of units</t>
  </si>
  <si>
    <t>*Total Pilotage Charge (two-way)</t>
  </si>
  <si>
    <t>ESTIMATED TOTAL VISIT CHARGE</t>
  </si>
  <si>
    <t>The Estimated Total Visit Charge is for guidance only.  The actual charge may vary and the PLA make no representations, warranties or guarantees that it is accurate, complete or up to date.  </t>
  </si>
  <si>
    <t>Oil Terminal</t>
  </si>
  <si>
    <t>LGW</t>
  </si>
  <si>
    <t>All discounts have been applied based on the information supplied.</t>
  </si>
  <si>
    <t>VISIT CHARGE ESTIMATOR</t>
  </si>
  <si>
    <t>Enter Proposed Visit Details:</t>
  </si>
  <si>
    <r>
      <t xml:space="preserve"> (m)   </t>
    </r>
    <r>
      <rPr>
        <i/>
        <sz val="10"/>
        <color theme="0" tint="-4.9989318521683403E-2"/>
        <rFont val="Calibri"/>
        <family val="2"/>
        <scheme val="minor"/>
      </rPr>
      <t>required for Tilbury Lock</t>
    </r>
  </si>
  <si>
    <t>Fuel Surcharge Count</t>
  </si>
  <si>
    <t>Up to 100m</t>
  </si>
  <si>
    <t>100.01 to 125m</t>
  </si>
  <si>
    <t>125.01 to 150m</t>
  </si>
  <si>
    <t>150.01 to 175m</t>
  </si>
  <si>
    <t>175.01 to 200m</t>
  </si>
  <si>
    <t>200.01 to 225m</t>
  </si>
  <si>
    <t>225.01 to 250m</t>
  </si>
  <si>
    <t>250.01 to 275m</t>
  </si>
  <si>
    <t>275.01 to 300m</t>
  </si>
  <si>
    <t>300.01 to 350m</t>
  </si>
  <si>
    <t>350.01 to 400m</t>
  </si>
  <si>
    <t>Above 400m</t>
  </si>
  <si>
    <t>January 2024 to December 2024</t>
  </si>
  <si>
    <t>The rates used are those published in the January 2024 to December 2024 Charges Tariff.</t>
  </si>
  <si>
    <t>Other charges may apply (including but not limited to Detention, Safe Pilot Access/Egress and ETA/ETD Surcharges) as stated in the January 2024 to December 2024 Charges Tariff.</t>
  </si>
  <si>
    <t>*Oil &amp; Gas Tankers arriving or departing from Terminals west of Gravesend, that</t>
  </si>
  <si>
    <t>have a L.O.A. above 226m, and / or a draught of 11.9m will require the services</t>
  </si>
  <si>
    <t>of a Specialist Pilot from the Warp Pilot station and be subject to the appropriate</t>
  </si>
  <si>
    <t>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</si>
</sst>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8" formatCode="&quot;£&quot;#,##0.00;[Red]\-&quot;£&quot;#,##0.00"/>
    <numFmt numFmtId="44" formatCode="_-&quot;£&quot;* #,##0.00_-;\-&quot;£&quot;* #,##0.00_-;_-&quot;£&quot;* &quot;-&quot;??_-;_-@_-"/>
    <numFmt numFmtId="43" formatCode="_-* #,##0.00_-;\-* #,##0.00_-;_-* &quot;-&quot;??_-;_-@_-"/>
    <numFmt numFmtId="164" formatCode="#,##0_ ;[Red]\-#,##0\ "/>
    <numFmt numFmtId="165" formatCode="&quot;£&quot;#,##0.00"/>
    <numFmt numFmtId="166" formatCode="&quot;£&quot;#,##0.000"/>
    <numFmt numFmtId="167" formatCode="0.0%"/>
    <numFmt numFmtId="168" formatCode="0.0"/>
    <numFmt numFmtId="169" formatCode="&quot;£&quot;#,##0"/>
    <numFmt numFmtId="170" formatCode="#,##0.0"/>
  </numFmts>
  <fonts count="85" x14ac:knownFonts="1">
    <font>
      <sz val="10"/>
      <name val="Arial"/>
    </font>
    <font>
      <sz val="10"/>
      <color theme="1"/>
      <name val="Calibri"/>
      <family val="2"/>
      <scheme val="minor"/>
    </font>
    <font>
      <sz val="11"/>
      <color theme="1"/>
      <name val="Calibri"/>
      <family val="2"/>
      <scheme val="minor"/>
    </font>
    <font>
      <sz val="10"/>
      <name val="Arial"/>
      <family val="2"/>
    </font>
    <font>
      <sz val="10"/>
      <name val="Times New Roman"/>
      <family val="1"/>
    </font>
    <font>
      <sz val="10"/>
      <color indexed="8"/>
      <name val="Arial"/>
      <family val="2"/>
    </font>
    <font>
      <sz val="10"/>
      <color indexed="8"/>
      <name val="MS Sans Serif"/>
      <family val="2"/>
    </font>
    <font>
      <sz val="10"/>
      <color indexed="9"/>
      <name val="Arial"/>
      <family val="2"/>
    </font>
    <font>
      <b/>
      <sz val="10"/>
      <name val="Arial"/>
      <family val="2"/>
    </font>
    <font>
      <b/>
      <sz val="10"/>
      <color indexed="10"/>
      <name val="Arial"/>
      <family val="2"/>
    </font>
    <font>
      <sz val="10"/>
      <name val="Arial"/>
      <family val="2"/>
    </font>
    <font>
      <sz val="8"/>
      <name val="Arial"/>
      <family val="2"/>
    </font>
    <font>
      <b/>
      <sz val="11"/>
      <name val="Arial"/>
      <family val="2"/>
    </font>
    <font>
      <sz val="8"/>
      <color indexed="18"/>
      <name val="Arial"/>
      <family val="2"/>
    </font>
    <font>
      <sz val="6"/>
      <name val="Arial"/>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6"/>
      <color rgb="FFFF0000"/>
      <name val="Arial"/>
      <family val="2"/>
    </font>
    <font>
      <b/>
      <sz val="14"/>
      <color theme="3" tint="-0.249977111117893"/>
      <name val="Arial"/>
      <family val="2"/>
    </font>
    <font>
      <sz val="10"/>
      <name val="Arial"/>
      <family val="2"/>
    </font>
    <font>
      <sz val="8"/>
      <color theme="1"/>
      <name val="Arial"/>
      <family val="2"/>
    </font>
    <font>
      <sz val="11"/>
      <color theme="1"/>
      <name val="Arial"/>
      <family val="2"/>
    </font>
    <font>
      <b/>
      <sz val="8"/>
      <name val="Arial"/>
      <family val="2"/>
    </font>
    <font>
      <sz val="9.9499999999999993"/>
      <name val="Arial"/>
      <family val="2"/>
    </font>
    <font>
      <sz val="8"/>
      <name val="Arial"/>
      <family val="2"/>
    </font>
    <font>
      <b/>
      <sz val="8"/>
      <color theme="1"/>
      <name val="Arial"/>
      <family val="2"/>
    </font>
    <font>
      <sz val="9.9499999999999993"/>
      <color indexed="10"/>
      <name val="Arial"/>
      <family val="2"/>
    </font>
    <font>
      <sz val="8"/>
      <color rgb="FF000000"/>
      <name val="Segoe UI"/>
      <family val="2"/>
    </font>
    <font>
      <sz val="9"/>
      <name val="Calibri"/>
      <family val="2"/>
      <scheme val="minor"/>
    </font>
    <font>
      <b/>
      <sz val="9"/>
      <name val="Calibri"/>
      <family val="2"/>
      <scheme val="minor"/>
    </font>
    <font>
      <i/>
      <sz val="9"/>
      <name val="Calibri"/>
      <family val="2"/>
      <scheme val="minor"/>
    </font>
    <font>
      <sz val="10"/>
      <name val="Calibri"/>
      <family val="2"/>
      <scheme val="minor"/>
    </font>
    <font>
      <b/>
      <sz val="10"/>
      <name val="Calibri"/>
      <family val="2"/>
      <scheme val="minor"/>
    </font>
    <font>
      <i/>
      <sz val="10"/>
      <name val="Calibri"/>
      <family val="2"/>
      <scheme val="minor"/>
    </font>
    <font>
      <b/>
      <sz val="10"/>
      <color theme="0"/>
      <name val="Calibri"/>
      <family val="2"/>
      <scheme val="minor"/>
    </font>
    <font>
      <sz val="10"/>
      <color rgb="FF002060"/>
      <name val="Calibri"/>
      <family val="2"/>
      <scheme val="minor"/>
    </font>
    <font>
      <i/>
      <sz val="10"/>
      <color rgb="FF002060"/>
      <name val="Calibri"/>
      <family val="2"/>
      <scheme val="minor"/>
    </font>
    <font>
      <sz val="10"/>
      <color theme="5"/>
      <name val="Calibri"/>
      <family val="2"/>
      <scheme val="minor"/>
    </font>
    <font>
      <i/>
      <sz val="9"/>
      <color theme="5"/>
      <name val="Calibri"/>
      <family val="2"/>
      <scheme val="minor"/>
    </font>
    <font>
      <b/>
      <i/>
      <sz val="10"/>
      <name val="Calibri"/>
      <family val="2"/>
      <scheme val="minor"/>
    </font>
    <font>
      <strike/>
      <sz val="10"/>
      <name val="Calibri"/>
      <family val="2"/>
      <scheme val="minor"/>
    </font>
    <font>
      <i/>
      <strike/>
      <sz val="10"/>
      <name val="Calibri"/>
      <family val="2"/>
      <scheme val="minor"/>
    </font>
    <font>
      <b/>
      <sz val="11"/>
      <name val="Microsoft Sans Serif"/>
      <family val="2"/>
    </font>
    <font>
      <sz val="9"/>
      <name val="Microsoft Sans Serif"/>
      <family val="2"/>
    </font>
    <font>
      <sz val="8"/>
      <name val="Microsoft Sans Serif"/>
      <family val="2"/>
    </font>
    <font>
      <b/>
      <sz val="10"/>
      <color rgb="FF0070C0"/>
      <name val="Calibri"/>
      <family val="2"/>
      <scheme val="minor"/>
    </font>
    <font>
      <b/>
      <sz val="9"/>
      <name val="Microsoft Sans Serif"/>
      <family val="2"/>
    </font>
    <font>
      <b/>
      <sz val="10"/>
      <color theme="5" tint="-0.499984740745262"/>
      <name val="Calibri"/>
      <family val="2"/>
      <scheme val="minor"/>
    </font>
    <font>
      <b/>
      <sz val="9"/>
      <color indexed="81"/>
      <name val="Tahoma"/>
      <family val="2"/>
    </font>
    <font>
      <b/>
      <i/>
      <sz val="9"/>
      <name val="Calibri"/>
      <family val="2"/>
      <scheme val="minor"/>
    </font>
    <font>
      <b/>
      <sz val="12"/>
      <color theme="3" tint="-0.249977111117893"/>
      <name val="Microsoft Sans Serif"/>
      <family val="2"/>
    </font>
    <font>
      <sz val="10"/>
      <color rgb="FFC00000"/>
      <name val="Calibri"/>
      <family val="2"/>
      <scheme val="minor"/>
    </font>
    <font>
      <sz val="10"/>
      <color theme="0" tint="-0.14999847407452621"/>
      <name val="Arial"/>
      <family val="2"/>
    </font>
    <font>
      <sz val="10"/>
      <color theme="0" tint="-0.14999847407452621"/>
      <name val="Calibri"/>
      <family val="2"/>
      <scheme val="minor"/>
    </font>
    <font>
      <b/>
      <sz val="10"/>
      <color theme="0" tint="-0.14999847407452621"/>
      <name val="Arial"/>
      <family val="2"/>
    </font>
    <font>
      <sz val="8"/>
      <color theme="0" tint="-0.14999847407452621"/>
      <name val="Microsoft Sans Serif"/>
      <family val="2"/>
    </font>
    <font>
      <sz val="10"/>
      <color theme="8" tint="-0.249977111117893"/>
      <name val="Calibri"/>
      <family val="2"/>
      <scheme val="minor"/>
    </font>
    <font>
      <i/>
      <sz val="10"/>
      <color rgb="FFC00000"/>
      <name val="Calibri"/>
      <family val="2"/>
      <scheme val="minor"/>
    </font>
    <font>
      <b/>
      <sz val="10"/>
      <color theme="1"/>
      <name val="Calibri"/>
      <family val="2"/>
      <scheme val="minor"/>
    </font>
    <font>
      <u/>
      <sz val="10"/>
      <color theme="10"/>
      <name val="Calibri"/>
      <family val="2"/>
      <scheme val="minor"/>
    </font>
    <font>
      <sz val="9"/>
      <color rgb="FFC00000"/>
      <name val="Microsoft Sans Serif"/>
      <family val="2"/>
    </font>
    <font>
      <i/>
      <sz val="10"/>
      <color theme="0" tint="-0.14999847407452621"/>
      <name val="Calibri"/>
      <family val="2"/>
      <scheme val="minor"/>
    </font>
    <font>
      <i/>
      <sz val="10"/>
      <color theme="4" tint="-0.499984740745262"/>
      <name val="Calibri"/>
      <family val="2"/>
      <scheme val="minor"/>
    </font>
    <font>
      <b/>
      <sz val="10"/>
      <color theme="0" tint="-4.9989318521683403E-2"/>
      <name val="Calibri"/>
      <family val="2"/>
      <scheme val="minor"/>
    </font>
    <font>
      <sz val="10"/>
      <color theme="0" tint="-4.9989318521683403E-2"/>
      <name val="Calibri"/>
      <family val="2"/>
      <scheme val="minor"/>
    </font>
    <font>
      <b/>
      <sz val="10"/>
      <color theme="0" tint="-4.9989318521683403E-2"/>
      <name val="Arial"/>
      <family val="2"/>
    </font>
    <font>
      <b/>
      <u/>
      <sz val="10"/>
      <color theme="0" tint="-4.9989318521683403E-2"/>
      <name val="Calibri"/>
      <family val="2"/>
      <scheme val="minor"/>
    </font>
    <font>
      <sz val="10"/>
      <color theme="0" tint="-4.9989318521683403E-2"/>
      <name val="Arial"/>
      <family val="2"/>
    </font>
    <font>
      <i/>
      <sz val="10"/>
      <color theme="0" tint="-4.9989318521683403E-2"/>
      <name val="Calibri"/>
      <family val="2"/>
      <scheme val="minor"/>
    </font>
    <font>
      <sz val="9"/>
      <color rgb="FFFF0000"/>
      <name val="Calibri"/>
      <family val="2"/>
      <scheme val="minor"/>
    </font>
  </fonts>
  <fills count="41">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theme="5"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medium">
        <color indexed="64"/>
      </left>
      <right/>
      <top style="thin">
        <color theme="0" tint="-0.499984740745262"/>
      </top>
      <bottom/>
      <diagonal/>
    </border>
    <border>
      <left/>
      <right style="medium">
        <color indexed="64"/>
      </right>
      <top style="thin">
        <color theme="0" tint="-0.499984740745262"/>
      </top>
      <bottom/>
      <diagonal/>
    </border>
    <border>
      <left style="thin">
        <color theme="0" tint="-0.24994659260841701"/>
      </left>
      <right style="thin">
        <color theme="0" tint="-0.24994659260841701"/>
      </right>
      <top style="thin">
        <color theme="0" tint="-0.24994659260841701"/>
      </top>
      <bottom style="dashed">
        <color theme="0" tint="-0.24994659260841701"/>
      </bottom>
      <diagonal/>
    </border>
    <border>
      <left style="thin">
        <color theme="0" tint="-0.24994659260841701"/>
      </left>
      <right style="thin">
        <color theme="0" tint="-0.24994659260841701"/>
      </right>
      <top style="dashed">
        <color theme="0" tint="-0.24994659260841701"/>
      </top>
      <bottom style="thin">
        <color theme="0" tint="-0.24994659260841701"/>
      </bottom>
      <diagonal/>
    </border>
    <border>
      <left/>
      <right/>
      <top style="thin">
        <color indexed="64"/>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24994659260841701"/>
      </right>
      <top/>
      <bottom/>
      <diagonal/>
    </border>
    <border>
      <left style="thin">
        <color theme="0" tint="-0.24994659260841701"/>
      </left>
      <right/>
      <top style="thin">
        <color theme="0" tint="-0.24994659260841701"/>
      </top>
      <bottom style="dashed">
        <color theme="0" tint="-0.24994659260841701"/>
      </bottom>
      <diagonal/>
    </border>
    <border>
      <left/>
      <right style="thin">
        <color theme="0" tint="-0.24994659260841701"/>
      </right>
      <top style="thin">
        <color theme="0" tint="-0.24994659260841701"/>
      </top>
      <bottom style="dashed">
        <color theme="0" tint="-0.24994659260841701"/>
      </bottom>
      <diagonal/>
    </border>
    <border>
      <left/>
      <right/>
      <top style="thin">
        <color theme="0" tint="-0.24994659260841701"/>
      </top>
      <bottom/>
      <diagonal/>
    </border>
    <border>
      <left style="thin">
        <color theme="0"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thin">
        <color theme="0" tint="-0.499984740745262"/>
      </right>
      <top style="thin">
        <color rgb="FFFF9900"/>
      </top>
      <bottom style="thin">
        <color rgb="FFFF9900"/>
      </bottom>
      <diagonal/>
    </border>
    <border>
      <left style="thin">
        <color theme="0" tint="-0.499984740745262"/>
      </left>
      <right style="thin">
        <color theme="0" tint="-0.499984740745262"/>
      </right>
      <top style="thin">
        <color rgb="FFFF9900"/>
      </top>
      <bottom style="thin">
        <color rgb="FFFF99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49">
    <xf numFmtId="0" fontId="0" fillId="0" borderId="0"/>
    <xf numFmtId="0" fontId="24" fillId="3"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2" borderId="0" applyNumberFormat="0" applyBorder="0" applyAlignment="0" applyProtection="0"/>
    <xf numFmtId="0" fontId="24" fillId="4"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2" borderId="0" applyNumberFormat="0" applyBorder="0" applyAlignment="0" applyProtection="0"/>
    <xf numFmtId="0" fontId="24" fillId="13" borderId="0" applyNumberFormat="0" applyBorder="0" applyAlignment="0" applyProtection="0"/>
    <xf numFmtId="0" fontId="23" fillId="14" borderId="0" applyNumberFormat="0" applyBorder="0" applyAlignment="0" applyProtection="0"/>
    <xf numFmtId="0" fontId="23"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16" fillId="5" borderId="0" applyNumberFormat="0" applyBorder="0" applyAlignment="0" applyProtection="0"/>
    <xf numFmtId="0" fontId="25" fillId="22" borderId="1" applyNumberFormat="0" applyAlignment="0" applyProtection="0"/>
    <xf numFmtId="0" fontId="20" fillId="23" borderId="2" applyNumberFormat="0" applyAlignment="0" applyProtection="0"/>
    <xf numFmtId="44" fontId="3" fillId="0" borderId="0" applyFont="0" applyFill="0" applyBorder="0" applyAlignment="0" applyProtection="0"/>
    <xf numFmtId="0" fontId="21" fillId="0" borderId="0" applyNumberFormat="0" applyFill="0" applyBorder="0" applyAlignment="0" applyProtection="0"/>
    <xf numFmtId="0" fontId="15" fillId="7"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7" fillId="8" borderId="1" applyNumberFormat="0" applyAlignment="0" applyProtection="0"/>
    <xf numFmtId="0" fontId="29" fillId="0" borderId="6" applyNumberFormat="0" applyFill="0" applyAlignment="0" applyProtection="0"/>
    <xf numFmtId="0" fontId="30" fillId="11" borderId="0" applyNumberFormat="0" applyBorder="0" applyAlignment="0" applyProtection="0"/>
    <xf numFmtId="0" fontId="4" fillId="0" borderId="0"/>
    <xf numFmtId="0" fontId="6" fillId="0" borderId="0"/>
    <xf numFmtId="0" fontId="10" fillId="6" borderId="7" applyNumberFormat="0" applyFont="0" applyAlignment="0" applyProtection="0"/>
    <xf numFmtId="0" fontId="18" fillId="22" borderId="8" applyNumberFormat="0" applyAlignment="0" applyProtection="0"/>
    <xf numFmtId="0" fontId="31" fillId="0" borderId="0" applyNumberFormat="0" applyFill="0" applyBorder="0" applyAlignment="0" applyProtection="0"/>
    <xf numFmtId="0" fontId="22" fillId="0" borderId="9" applyNumberFormat="0" applyFill="0" applyAlignment="0" applyProtection="0"/>
    <xf numFmtId="0" fontId="19" fillId="0" borderId="0" applyNumberFormat="0" applyFill="0" applyBorder="0" applyAlignment="0" applyProtection="0"/>
    <xf numFmtId="0" fontId="2" fillId="0" borderId="0"/>
    <xf numFmtId="43" fontId="34" fillId="0" borderId="0" applyFont="0" applyFill="0" applyBorder="0" applyAlignment="0" applyProtection="0"/>
    <xf numFmtId="0" fontId="1" fillId="0" borderId="0"/>
    <xf numFmtId="0" fontId="74" fillId="0" borderId="0" applyNumberFormat="0" applyFill="0" applyBorder="0" applyAlignment="0" applyProtection="0"/>
  </cellStyleXfs>
  <cellXfs count="349">
    <xf numFmtId="0" fontId="0" fillId="0" borderId="0" xfId="0"/>
    <xf numFmtId="0" fontId="0" fillId="0" borderId="0" xfId="0" applyFill="1"/>
    <xf numFmtId="0" fontId="0" fillId="0" borderId="10" xfId="0" applyBorder="1" applyAlignment="1" applyProtection="1">
      <alignment horizontal="center"/>
      <protection locked="0"/>
    </xf>
    <xf numFmtId="0" fontId="0" fillId="0" borderId="0" xfId="0" applyProtection="1"/>
    <xf numFmtId="0" fontId="0" fillId="0" borderId="0" xfId="0" applyBorder="1" applyProtection="1"/>
    <xf numFmtId="0" fontId="35" fillId="24" borderId="10" xfId="0" applyFont="1" applyFill="1" applyBorder="1"/>
    <xf numFmtId="0" fontId="36" fillId="24" borderId="0" xfId="45" applyFont="1" applyFill="1"/>
    <xf numFmtId="0" fontId="36" fillId="0" borderId="0" xfId="45" applyFont="1"/>
    <xf numFmtId="0" fontId="35" fillId="24" borderId="0" xfId="45" applyFont="1" applyFill="1"/>
    <xf numFmtId="0" fontId="37" fillId="24" borderId="22" xfId="0" applyFont="1" applyFill="1" applyBorder="1" applyAlignment="1">
      <alignment horizontal="centerContinuous"/>
    </xf>
    <xf numFmtId="0" fontId="37" fillId="24" borderId="23" xfId="0" applyFont="1" applyFill="1" applyBorder="1" applyAlignment="1">
      <alignment horizontal="centerContinuous"/>
    </xf>
    <xf numFmtId="0" fontId="37" fillId="24" borderId="12" xfId="0" applyFont="1" applyFill="1" applyBorder="1" applyAlignment="1">
      <alignment horizontal="centerContinuous"/>
    </xf>
    <xf numFmtId="0" fontId="35" fillId="24" borderId="10" xfId="45" applyFont="1" applyFill="1" applyBorder="1" applyAlignment="1">
      <alignment horizontal="center"/>
    </xf>
    <xf numFmtId="6" fontId="35" fillId="24" borderId="10" xfId="45" applyNumberFormat="1" applyFont="1" applyFill="1" applyBorder="1" applyAlignment="1">
      <alignment horizontal="right"/>
    </xf>
    <xf numFmtId="0" fontId="11" fillId="24" borderId="11" xfId="0" applyFont="1" applyFill="1" applyBorder="1" applyAlignment="1">
      <alignment horizontal="center"/>
    </xf>
    <xf numFmtId="0" fontId="35" fillId="24" borderId="10" xfId="45" applyFont="1" applyFill="1" applyBorder="1"/>
    <xf numFmtId="0" fontId="35" fillId="0" borderId="0" xfId="45" applyFont="1"/>
    <xf numFmtId="164" fontId="35" fillId="24" borderId="10" xfId="45" applyNumberFormat="1" applyFont="1" applyFill="1" applyBorder="1"/>
    <xf numFmtId="9" fontId="35" fillId="24" borderId="10" xfId="45" applyNumberFormat="1" applyFont="1" applyFill="1" applyBorder="1" applyAlignment="1">
      <alignment horizontal="center"/>
    </xf>
    <xf numFmtId="8" fontId="35" fillId="24" borderId="10" xfId="46" applyNumberFormat="1" applyFont="1" applyFill="1" applyBorder="1"/>
    <xf numFmtId="0" fontId="35" fillId="24" borderId="0" xfId="0" applyFont="1" applyFill="1" applyBorder="1"/>
    <xf numFmtId="0" fontId="36" fillId="24" borderId="21" xfId="45" applyFont="1" applyFill="1" applyBorder="1"/>
    <xf numFmtId="6" fontId="35" fillId="0" borderId="0" xfId="45" applyNumberFormat="1" applyFont="1"/>
    <xf numFmtId="0" fontId="36" fillId="0" borderId="0" xfId="45" applyFont="1" applyFill="1"/>
    <xf numFmtId="6" fontId="35" fillId="24" borderId="0" xfId="45" applyNumberFormat="1" applyFont="1" applyFill="1"/>
    <xf numFmtId="0" fontId="0" fillId="24" borderId="0" xfId="0" applyFill="1"/>
    <xf numFmtId="164" fontId="11" fillId="24" borderId="0" xfId="0" applyNumberFormat="1" applyFont="1" applyFill="1" applyBorder="1"/>
    <xf numFmtId="0" fontId="35" fillId="24" borderId="0" xfId="45" applyFont="1" applyFill="1" applyBorder="1"/>
    <xf numFmtId="6" fontId="35" fillId="24" borderId="24" xfId="45" applyNumberFormat="1" applyFont="1" applyFill="1" applyBorder="1" applyAlignment="1">
      <alignment horizontal="right"/>
    </xf>
    <xf numFmtId="0" fontId="35" fillId="0" borderId="0" xfId="45" applyFont="1" applyFill="1"/>
    <xf numFmtId="0" fontId="40" fillId="24" borderId="25" xfId="45" applyFont="1" applyFill="1" applyBorder="1" applyAlignment="1">
      <alignment horizontal="center"/>
    </xf>
    <xf numFmtId="0" fontId="3" fillId="0" borderId="0" xfId="0" applyFont="1" applyProtection="1"/>
    <xf numFmtId="0" fontId="12" fillId="28" borderId="0" xfId="0" applyFont="1" applyFill="1" applyBorder="1" applyProtection="1"/>
    <xf numFmtId="0" fontId="0" fillId="28" borderId="0" xfId="0" applyFill="1" applyBorder="1" applyProtection="1"/>
    <xf numFmtId="0" fontId="3" fillId="28" borderId="0" xfId="0" applyFont="1" applyFill="1" applyBorder="1" applyProtection="1"/>
    <xf numFmtId="0" fontId="8" fillId="28" borderId="0" xfId="0" applyFont="1" applyFill="1" applyBorder="1" applyProtection="1"/>
    <xf numFmtId="0" fontId="13" fillId="28" borderId="0" xfId="0" quotePrefix="1" applyFont="1" applyFill="1" applyBorder="1" applyAlignment="1" applyProtection="1">
      <alignment horizontal="center"/>
    </xf>
    <xf numFmtId="0" fontId="0" fillId="28" borderId="19" xfId="0" applyFill="1" applyBorder="1" applyProtection="1"/>
    <xf numFmtId="0" fontId="0" fillId="28" borderId="17" xfId="0" applyFill="1" applyBorder="1" applyProtection="1"/>
    <xf numFmtId="0" fontId="14" fillId="28" borderId="20" xfId="0" applyFont="1" applyFill="1" applyBorder="1" applyAlignment="1" applyProtection="1">
      <alignment horizontal="right"/>
    </xf>
    <xf numFmtId="0" fontId="14" fillId="28" borderId="19" xfId="0" applyFont="1" applyFill="1" applyBorder="1" applyAlignment="1" applyProtection="1">
      <alignment horizontal="right"/>
    </xf>
    <xf numFmtId="0" fontId="0" fillId="28" borderId="17" xfId="0" applyFill="1" applyBorder="1" applyAlignment="1" applyProtection="1">
      <alignment horizontal="left" vertical="center" wrapText="1"/>
    </xf>
    <xf numFmtId="0" fontId="12" fillId="28" borderId="0" xfId="0" applyFont="1" applyFill="1" applyBorder="1" applyAlignment="1" applyProtection="1">
      <alignment vertical="center"/>
    </xf>
    <xf numFmtId="0" fontId="32" fillId="28" borderId="19" xfId="0" applyFont="1" applyFill="1" applyBorder="1" applyProtection="1"/>
    <xf numFmtId="0" fontId="33" fillId="28" borderId="19" xfId="0" applyFont="1" applyFill="1" applyBorder="1" applyAlignment="1" applyProtection="1">
      <alignment vertical="center"/>
    </xf>
    <xf numFmtId="0" fontId="33" fillId="28" borderId="18" xfId="0" applyFont="1" applyFill="1" applyBorder="1" applyAlignment="1" applyProtection="1">
      <alignment vertical="center"/>
    </xf>
    <xf numFmtId="0" fontId="8" fillId="28" borderId="13" xfId="0" applyFont="1" applyFill="1" applyBorder="1" applyAlignment="1" applyProtection="1">
      <alignment vertical="center"/>
    </xf>
    <xf numFmtId="0" fontId="8" fillId="28" borderId="16" xfId="0" applyFont="1" applyFill="1" applyBorder="1" applyAlignment="1" applyProtection="1">
      <alignment vertical="center"/>
    </xf>
    <xf numFmtId="0" fontId="8" fillId="28" borderId="18" xfId="0" applyFont="1" applyFill="1" applyBorder="1" applyAlignment="1" applyProtection="1">
      <alignment vertical="center"/>
    </xf>
    <xf numFmtId="0" fontId="8" fillId="28" borderId="0" xfId="0" applyFont="1" applyFill="1" applyBorder="1" applyAlignment="1" applyProtection="1">
      <alignment vertical="center"/>
    </xf>
    <xf numFmtId="0" fontId="3" fillId="28" borderId="17" xfId="0" applyFont="1" applyFill="1" applyBorder="1" applyProtection="1"/>
    <xf numFmtId="0" fontId="3" fillId="0" borderId="0" xfId="0" applyFont="1" applyAlignment="1" applyProtection="1">
      <alignment horizontal="left"/>
    </xf>
    <xf numFmtId="0" fontId="3" fillId="0" borderId="0" xfId="0" applyFont="1" applyFill="1" applyAlignment="1" applyProtection="1">
      <alignment horizontal="left"/>
    </xf>
    <xf numFmtId="0" fontId="8" fillId="0" borderId="0" xfId="0" applyFont="1" applyProtection="1"/>
    <xf numFmtId="0" fontId="3" fillId="0" borderId="28" xfId="0" applyFont="1" applyBorder="1" applyAlignment="1" applyProtection="1">
      <alignment horizontal="left"/>
    </xf>
    <xf numFmtId="0" fontId="3" fillId="0" borderId="11" xfId="0" applyFont="1" applyFill="1" applyBorder="1" applyAlignment="1" applyProtection="1">
      <alignment horizontal="left"/>
    </xf>
    <xf numFmtId="0" fontId="3" fillId="0" borderId="11" xfId="0" applyFont="1" applyBorder="1" applyAlignment="1" applyProtection="1">
      <alignment horizontal="left"/>
    </xf>
    <xf numFmtId="0" fontId="3" fillId="0" borderId="27" xfId="0" applyFont="1" applyBorder="1" applyAlignment="1" applyProtection="1"/>
    <xf numFmtId="0" fontId="5" fillId="0" borderId="0" xfId="39" applyFont="1" applyFill="1" applyBorder="1" applyAlignment="1" applyProtection="1">
      <alignment horizontal="left"/>
    </xf>
    <xf numFmtId="0" fontId="5" fillId="0" borderId="0" xfId="39" applyFont="1" applyFill="1" applyBorder="1" applyAlignment="1" applyProtection="1">
      <alignment horizontal="center"/>
    </xf>
    <xf numFmtId="0" fontId="0" fillId="0" borderId="10" xfId="0" applyBorder="1" applyAlignment="1" applyProtection="1">
      <alignment horizontal="left"/>
    </xf>
    <xf numFmtId="0" fontId="3" fillId="0" borderId="10" xfId="0" applyFont="1" applyBorder="1" applyAlignment="1" applyProtection="1">
      <alignment horizontal="center"/>
    </xf>
    <xf numFmtId="0" fontId="3" fillId="27" borderId="12" xfId="0" applyFont="1" applyFill="1" applyBorder="1" applyAlignment="1" applyProtection="1">
      <alignment horizontal="center"/>
    </xf>
    <xf numFmtId="0" fontId="3" fillId="27" borderId="10" xfId="0" applyFont="1" applyFill="1" applyBorder="1" applyAlignment="1" applyProtection="1">
      <alignment horizontal="center"/>
    </xf>
    <xf numFmtId="0" fontId="0" fillId="27" borderId="10" xfId="0" applyFill="1" applyBorder="1" applyAlignment="1" applyProtection="1">
      <alignment horizontal="center"/>
    </xf>
    <xf numFmtId="0" fontId="0" fillId="27" borderId="10" xfId="0" applyFill="1" applyBorder="1" applyAlignment="1" applyProtection="1">
      <alignment horizontal="left"/>
    </xf>
    <xf numFmtId="0" fontId="0" fillId="0" borderId="22" xfId="0" applyFill="1" applyBorder="1" applyAlignment="1" applyProtection="1"/>
    <xf numFmtId="0" fontId="38" fillId="0" borderId="0" xfId="39" applyFont="1" applyFill="1" applyBorder="1" applyAlignment="1" applyProtection="1">
      <alignment vertical="center"/>
    </xf>
    <xf numFmtId="0" fontId="38" fillId="0" borderId="0" xfId="39" applyFont="1" applyFill="1" applyBorder="1" applyAlignment="1" applyProtection="1">
      <alignment horizontal="center" vertical="center"/>
    </xf>
    <xf numFmtId="0" fontId="3" fillId="0" borderId="10" xfId="0" applyFont="1" applyBorder="1" applyAlignment="1" applyProtection="1">
      <alignment horizontal="left"/>
    </xf>
    <xf numFmtId="0" fontId="0" fillId="0" borderId="10" xfId="0" applyBorder="1" applyProtection="1"/>
    <xf numFmtId="0" fontId="0" fillId="0" borderId="10" xfId="0" applyBorder="1" applyAlignment="1" applyProtection="1">
      <alignment horizontal="center"/>
    </xf>
    <xf numFmtId="0" fontId="41" fillId="0" borderId="0" xfId="0" applyFont="1" applyAlignment="1" applyProtection="1">
      <alignment vertical="center"/>
    </xf>
    <xf numFmtId="0" fontId="41" fillId="0" borderId="0" xfId="0" applyFont="1" applyAlignment="1" applyProtection="1">
      <alignment horizontal="center" vertical="center"/>
    </xf>
    <xf numFmtId="0" fontId="0" fillId="27" borderId="10" xfId="0" applyFont="1" applyFill="1" applyBorder="1" applyAlignment="1" applyProtection="1">
      <alignment horizontal="center"/>
    </xf>
    <xf numFmtId="0" fontId="0" fillId="27" borderId="10" xfId="0" applyNumberFormat="1" applyFill="1" applyBorder="1" applyAlignment="1" applyProtection="1">
      <alignment horizontal="center"/>
    </xf>
    <xf numFmtId="0" fontId="0" fillId="27" borderId="10" xfId="0" applyNumberFormat="1" applyFill="1" applyBorder="1" applyAlignment="1" applyProtection="1">
      <alignment horizontal="left"/>
    </xf>
    <xf numFmtId="0" fontId="3" fillId="0" borderId="22" xfId="0" applyFont="1" applyFill="1" applyBorder="1" applyAlignment="1" applyProtection="1"/>
    <xf numFmtId="0" fontId="3" fillId="0" borderId="10" xfId="0" applyFont="1" applyFill="1" applyBorder="1" applyAlignment="1" applyProtection="1">
      <alignment horizontal="left"/>
    </xf>
    <xf numFmtId="0" fontId="3" fillId="26" borderId="10" xfId="0" applyFont="1" applyFill="1" applyBorder="1" applyAlignment="1" applyProtection="1">
      <alignment horizontal="center"/>
    </xf>
    <xf numFmtId="0" fontId="3" fillId="25" borderId="10" xfId="0" applyFont="1" applyFill="1" applyBorder="1" applyAlignment="1" applyProtection="1">
      <alignment horizontal="center"/>
    </xf>
    <xf numFmtId="0" fontId="41" fillId="0" borderId="0" xfId="39" applyFont="1" applyFill="1" applyBorder="1" applyAlignment="1" applyProtection="1">
      <alignment vertical="center"/>
    </xf>
    <xf numFmtId="0" fontId="41" fillId="0" borderId="0" xfId="39" applyFont="1" applyFill="1" applyBorder="1" applyAlignment="1" applyProtection="1">
      <alignment horizontal="center" vertical="center"/>
    </xf>
    <xf numFmtId="0" fontId="0" fillId="0" borderId="10" xfId="0" applyFill="1" applyBorder="1" applyAlignment="1" applyProtection="1">
      <alignment horizontal="left"/>
    </xf>
    <xf numFmtId="0" fontId="0" fillId="0" borderId="0" xfId="0" applyAlignment="1" applyProtection="1"/>
    <xf numFmtId="0" fontId="0" fillId="0" borderId="0" xfId="0" applyAlignment="1" applyProtection="1">
      <alignment horizontal="center"/>
    </xf>
    <xf numFmtId="0" fontId="3" fillId="0" borderId="0" xfId="0" applyFont="1" applyAlignment="1" applyProtection="1"/>
    <xf numFmtId="0" fontId="0" fillId="0" borderId="22" xfId="0" applyNumberFormat="1" applyFill="1" applyBorder="1" applyAlignment="1" applyProtection="1"/>
    <xf numFmtId="0" fontId="0" fillId="25" borderId="10" xfId="0" applyFill="1" applyBorder="1" applyAlignment="1" applyProtection="1">
      <alignment horizontal="center"/>
    </xf>
    <xf numFmtId="0" fontId="3" fillId="0" borderId="0" xfId="0" applyFont="1" applyAlignment="1" applyProtection="1">
      <alignment horizontal="center"/>
    </xf>
    <xf numFmtId="0" fontId="0" fillId="0" borderId="0" xfId="0" applyBorder="1" applyAlignment="1" applyProtection="1"/>
    <xf numFmtId="0" fontId="0" fillId="26" borderId="10" xfId="0" applyFill="1" applyBorder="1" applyAlignment="1" applyProtection="1">
      <alignment horizontal="center"/>
    </xf>
    <xf numFmtId="0" fontId="3" fillId="27" borderId="29" xfId="0" applyFont="1" applyFill="1" applyBorder="1" applyAlignment="1" applyProtection="1">
      <alignment horizontal="center"/>
    </xf>
    <xf numFmtId="0" fontId="3" fillId="27" borderId="26" xfId="0" applyFont="1" applyFill="1" applyBorder="1" applyAlignment="1" applyProtection="1">
      <alignment horizontal="center"/>
    </xf>
    <xf numFmtId="0" fontId="0" fillId="27" borderId="26" xfId="0" applyNumberFormat="1" applyFill="1" applyBorder="1" applyAlignment="1" applyProtection="1">
      <alignment horizontal="center"/>
    </xf>
    <xf numFmtId="0" fontId="0" fillId="27" borderId="26" xfId="0" applyNumberFormat="1" applyFill="1" applyBorder="1" applyAlignment="1" applyProtection="1">
      <alignment horizontal="left"/>
    </xf>
    <xf numFmtId="0" fontId="0" fillId="0" borderId="25" xfId="0" applyFill="1" applyBorder="1" applyAlignment="1" applyProtection="1"/>
    <xf numFmtId="0" fontId="0" fillId="0" borderId="0" xfId="0" applyFill="1" applyAlignment="1" applyProtection="1">
      <alignment horizontal="center"/>
    </xf>
    <xf numFmtId="0" fontId="3" fillId="0" borderId="0" xfId="0" applyFont="1" applyFill="1" applyAlignment="1" applyProtection="1">
      <alignment horizontal="center"/>
    </xf>
    <xf numFmtId="0" fontId="0" fillId="0" borderId="0" xfId="0" applyAlignment="1" applyProtection="1">
      <alignment horizontal="left"/>
    </xf>
    <xf numFmtId="0" fontId="0" fillId="28" borderId="0" xfId="0" applyFill="1" applyProtection="1"/>
    <xf numFmtId="0" fontId="33" fillId="28" borderId="17" xfId="0" applyFont="1" applyFill="1" applyBorder="1" applyAlignment="1" applyProtection="1">
      <alignment horizontal="center" vertical="center"/>
    </xf>
    <xf numFmtId="0" fontId="35" fillId="24" borderId="10" xfId="0" applyFont="1" applyFill="1" applyBorder="1" applyAlignment="1">
      <alignment horizontal="center"/>
    </xf>
    <xf numFmtId="0" fontId="35" fillId="24" borderId="10" xfId="45" applyFont="1" applyFill="1" applyBorder="1" applyAlignment="1">
      <alignment horizontal="left"/>
    </xf>
    <xf numFmtId="0" fontId="40" fillId="24" borderId="10" xfId="45" applyFont="1" applyFill="1" applyBorder="1" applyAlignment="1">
      <alignment horizontal="center"/>
    </xf>
    <xf numFmtId="44" fontId="8" fillId="28" borderId="19" xfId="28" applyFont="1" applyFill="1" applyBorder="1" applyProtection="1"/>
    <xf numFmtId="0" fontId="43" fillId="0" borderId="0" xfId="0" applyFont="1"/>
    <xf numFmtId="166" fontId="43" fillId="0" borderId="0" xfId="0" applyNumberFormat="1" applyFont="1"/>
    <xf numFmtId="3" fontId="43" fillId="0" borderId="0" xfId="0" applyNumberFormat="1" applyFont="1"/>
    <xf numFmtId="0" fontId="43" fillId="0" borderId="0" xfId="0" applyFont="1" applyAlignment="1"/>
    <xf numFmtId="167" fontId="43" fillId="0" borderId="0" xfId="0" applyNumberFormat="1" applyFont="1"/>
    <xf numFmtId="0" fontId="43" fillId="0" borderId="0" xfId="0" applyFont="1" applyAlignment="1">
      <alignment horizontal="left" indent="1"/>
    </xf>
    <xf numFmtId="166" fontId="44" fillId="0" borderId="0" xfId="0" applyNumberFormat="1" applyFont="1" applyAlignment="1">
      <alignment horizontal="center" vertical="center"/>
    </xf>
    <xf numFmtId="3" fontId="43" fillId="0" borderId="0" xfId="0" applyNumberFormat="1" applyFont="1" applyAlignment="1">
      <alignment horizontal="center"/>
    </xf>
    <xf numFmtId="166" fontId="43" fillId="0" borderId="0" xfId="0" applyNumberFormat="1" applyFont="1" applyAlignment="1">
      <alignment horizontal="right"/>
    </xf>
    <xf numFmtId="0" fontId="45" fillId="0" borderId="0" xfId="0" applyFont="1"/>
    <xf numFmtId="166" fontId="45" fillId="0" borderId="0" xfId="0" applyNumberFormat="1" applyFont="1"/>
    <xf numFmtId="0" fontId="45" fillId="0" borderId="0" xfId="0" applyFont="1" applyAlignment="1"/>
    <xf numFmtId="0" fontId="44" fillId="29" borderId="0" xfId="0" applyFont="1" applyFill="1"/>
    <xf numFmtId="0" fontId="43" fillId="0" borderId="0" xfId="0" applyNumberFormat="1" applyFont="1"/>
    <xf numFmtId="9" fontId="43" fillId="0" borderId="0" xfId="0" applyNumberFormat="1" applyFont="1" applyAlignment="1">
      <alignment horizontal="left"/>
    </xf>
    <xf numFmtId="0" fontId="43" fillId="0" borderId="0" xfId="0" applyNumberFormat="1" applyFont="1" applyAlignment="1">
      <alignment horizontal="left"/>
    </xf>
    <xf numFmtId="6" fontId="43" fillId="0" borderId="0" xfId="0" applyNumberFormat="1" applyFont="1" applyAlignment="1">
      <alignment horizontal="left"/>
    </xf>
    <xf numFmtId="0" fontId="43" fillId="30" borderId="0" xfId="0" applyNumberFormat="1" applyFont="1" applyFill="1"/>
    <xf numFmtId="165" fontId="43" fillId="0" borderId="0" xfId="0" applyNumberFormat="1" applyFont="1"/>
    <xf numFmtId="0" fontId="36" fillId="24" borderId="0" xfId="45" applyFont="1" applyFill="1" applyAlignment="1">
      <alignment wrapText="1"/>
    </xf>
    <xf numFmtId="0" fontId="35" fillId="24" borderId="0" xfId="45" applyFont="1" applyFill="1" applyAlignment="1">
      <alignment wrapText="1"/>
    </xf>
    <xf numFmtId="0" fontId="37" fillId="24" borderId="10" xfId="0" applyFont="1" applyFill="1" applyBorder="1" applyAlignment="1">
      <alignment horizontal="center" wrapText="1"/>
    </xf>
    <xf numFmtId="0" fontId="36" fillId="0" borderId="0" xfId="45" applyFont="1" applyAlignment="1">
      <alignment wrapText="1"/>
    </xf>
    <xf numFmtId="0" fontId="0" fillId="0" borderId="0" xfId="0" applyAlignment="1">
      <alignment wrapText="1"/>
    </xf>
    <xf numFmtId="0" fontId="36" fillId="24" borderId="21" xfId="45" applyFont="1" applyFill="1" applyBorder="1" applyAlignment="1">
      <alignment wrapText="1"/>
    </xf>
    <xf numFmtId="0" fontId="35" fillId="24" borderId="10" xfId="45" applyFont="1" applyFill="1" applyBorder="1" applyAlignment="1">
      <alignment horizontal="center" wrapText="1"/>
    </xf>
    <xf numFmtId="0" fontId="35" fillId="24" borderId="0" xfId="0" applyFont="1" applyFill="1" applyBorder="1" applyAlignment="1"/>
    <xf numFmtId="0" fontId="46" fillId="0" borderId="0" xfId="0" applyFont="1"/>
    <xf numFmtId="0" fontId="46" fillId="30" borderId="0" xfId="0" applyFont="1" applyFill="1" applyBorder="1"/>
    <xf numFmtId="0" fontId="50" fillId="30" borderId="0" xfId="0" applyFont="1" applyFill="1" applyBorder="1"/>
    <xf numFmtId="0" fontId="49" fillId="33" borderId="0" xfId="0" applyFont="1" applyFill="1" applyBorder="1"/>
    <xf numFmtId="0" fontId="49" fillId="33" borderId="0" xfId="0" applyFont="1" applyFill="1" applyBorder="1" applyAlignment="1">
      <alignment horizontal="left"/>
    </xf>
    <xf numFmtId="0" fontId="46" fillId="31" borderId="0" xfId="0" applyFont="1" applyFill="1" applyBorder="1"/>
    <xf numFmtId="0" fontId="48" fillId="31" borderId="0" xfId="0" applyFont="1" applyFill="1" applyBorder="1"/>
    <xf numFmtId="0" fontId="48" fillId="30" borderId="0" xfId="0" applyFont="1" applyFill="1" applyBorder="1" applyAlignment="1">
      <alignment horizontal="left"/>
    </xf>
    <xf numFmtId="0" fontId="51" fillId="30" borderId="0" xfId="0" applyFont="1" applyFill="1" applyBorder="1" applyAlignment="1">
      <alignment horizontal="left"/>
    </xf>
    <xf numFmtId="0" fontId="50" fillId="31" borderId="0" xfId="0" applyFont="1" applyFill="1" applyBorder="1"/>
    <xf numFmtId="0" fontId="51" fillId="31" borderId="0" xfId="0" applyFont="1" applyFill="1" applyBorder="1" applyAlignment="1">
      <alignment horizontal="left"/>
    </xf>
    <xf numFmtId="0" fontId="46" fillId="32" borderId="0" xfId="0" applyFont="1" applyFill="1" applyBorder="1"/>
    <xf numFmtId="0" fontId="48" fillId="32" borderId="0" xfId="0" applyFont="1" applyFill="1" applyBorder="1" applyAlignment="1">
      <alignment horizontal="left"/>
    </xf>
    <xf numFmtId="0" fontId="46" fillId="30" borderId="0" xfId="0" applyFont="1" applyFill="1" applyBorder="1" applyAlignment="1">
      <alignment horizontal="left"/>
    </xf>
    <xf numFmtId="0" fontId="46" fillId="0" borderId="0" xfId="0" applyFont="1" applyBorder="1"/>
    <xf numFmtId="0" fontId="46" fillId="0" borderId="0" xfId="0" applyFont="1" applyBorder="1" applyAlignment="1">
      <alignment horizontal="left"/>
    </xf>
    <xf numFmtId="0" fontId="52" fillId="30" borderId="0" xfId="0" applyFont="1" applyFill="1" applyBorder="1"/>
    <xf numFmtId="0" fontId="53" fillId="30" borderId="0" xfId="0" applyFont="1" applyFill="1" applyBorder="1" applyAlignment="1">
      <alignment horizontal="left"/>
    </xf>
    <xf numFmtId="0" fontId="47" fillId="30" borderId="0" xfId="0" applyFont="1" applyFill="1" applyBorder="1"/>
    <xf numFmtId="0" fontId="54" fillId="30" borderId="0" xfId="0" applyFont="1" applyFill="1" applyBorder="1" applyAlignment="1">
      <alignment horizontal="left"/>
    </xf>
    <xf numFmtId="0" fontId="55" fillId="32" borderId="0" xfId="0" applyFont="1" applyFill="1" applyBorder="1"/>
    <xf numFmtId="0" fontId="56" fillId="32" borderId="0" xfId="0" applyFont="1" applyFill="1" applyBorder="1" applyAlignment="1">
      <alignment horizontal="left"/>
    </xf>
    <xf numFmtId="0" fontId="46" fillId="34" borderId="30" xfId="0" applyFont="1" applyFill="1" applyBorder="1"/>
    <xf numFmtId="0" fontId="46" fillId="0" borderId="0" xfId="0" applyFont="1" applyAlignment="1">
      <alignment horizontal="right"/>
    </xf>
    <xf numFmtId="0" fontId="46" fillId="0" borderId="30" xfId="0" applyFont="1" applyBorder="1" applyAlignment="1">
      <alignment horizontal="right"/>
    </xf>
    <xf numFmtId="0" fontId="46" fillId="35" borderId="0" xfId="0" applyFont="1" applyFill="1"/>
    <xf numFmtId="0" fontId="46" fillId="35" borderId="0" xfId="0" applyFont="1" applyFill="1" applyAlignment="1">
      <alignment horizontal="right"/>
    </xf>
    <xf numFmtId="0" fontId="40" fillId="24" borderId="10" xfId="45" applyFont="1" applyFill="1" applyBorder="1" applyAlignment="1">
      <alignment horizontal="left"/>
    </xf>
    <xf numFmtId="0" fontId="46" fillId="0" borderId="0" xfId="0" applyFont="1" applyAlignment="1">
      <alignment horizontal="left"/>
    </xf>
    <xf numFmtId="0" fontId="49" fillId="37" borderId="0" xfId="0" applyFont="1" applyFill="1" applyAlignment="1">
      <alignment horizontal="left"/>
    </xf>
    <xf numFmtId="0" fontId="47" fillId="0" borderId="0" xfId="0" applyFont="1" applyAlignment="1">
      <alignment horizontal="left"/>
    </xf>
    <xf numFmtId="0" fontId="49" fillId="36" borderId="0" xfId="0" applyFont="1" applyFill="1" applyAlignment="1">
      <alignment horizontal="left"/>
    </xf>
    <xf numFmtId="0" fontId="46" fillId="0" borderId="30" xfId="0" applyFont="1" applyBorder="1" applyAlignment="1">
      <alignment horizontal="left"/>
    </xf>
    <xf numFmtId="0" fontId="60" fillId="0" borderId="0" xfId="0" applyFont="1" applyAlignment="1">
      <alignment horizontal="left"/>
    </xf>
    <xf numFmtId="2" fontId="35" fillId="24" borderId="10" xfId="45" applyNumberFormat="1" applyFont="1" applyFill="1" applyBorder="1" applyAlignment="1">
      <alignment horizontal="center"/>
    </xf>
    <xf numFmtId="0" fontId="46" fillId="0" borderId="0" xfId="0" applyFont="1" applyAlignment="1">
      <alignment horizontal="center"/>
    </xf>
    <xf numFmtId="4" fontId="46" fillId="0" borderId="0" xfId="0" applyNumberFormat="1" applyFont="1" applyAlignment="1">
      <alignment horizontal="left"/>
    </xf>
    <xf numFmtId="2" fontId="46" fillId="0" borderId="0" xfId="0" applyNumberFormat="1" applyFont="1" applyAlignment="1">
      <alignment horizontal="left"/>
    </xf>
    <xf numFmtId="0" fontId="49" fillId="37" borderId="0" xfId="0" applyFont="1" applyFill="1" applyAlignment="1">
      <alignment horizontal="center"/>
    </xf>
    <xf numFmtId="0" fontId="46" fillId="0" borderId="0" xfId="0" applyFont="1" applyFill="1" applyAlignment="1">
      <alignment horizontal="center"/>
    </xf>
    <xf numFmtId="0" fontId="57" fillId="28" borderId="0" xfId="0" applyFont="1" applyFill="1" applyBorder="1" applyProtection="1"/>
    <xf numFmtId="0" fontId="46" fillId="0" borderId="0" xfId="0" applyFont="1" applyFill="1" applyAlignment="1">
      <alignment horizontal="left"/>
    </xf>
    <xf numFmtId="3" fontId="46" fillId="0" borderId="0" xfId="0" applyNumberFormat="1" applyFont="1" applyAlignment="1">
      <alignment horizontal="left"/>
    </xf>
    <xf numFmtId="4" fontId="46" fillId="0" borderId="0" xfId="0" applyNumberFormat="1" applyFont="1" applyFill="1" applyAlignment="1">
      <alignment horizontal="left"/>
    </xf>
    <xf numFmtId="0" fontId="46" fillId="28" borderId="0" xfId="0" applyFont="1" applyFill="1" applyBorder="1" applyProtection="1"/>
    <xf numFmtId="0" fontId="47" fillId="28" borderId="0" xfId="0" applyFont="1" applyFill="1" applyBorder="1" applyAlignment="1" applyProtection="1">
      <alignment horizontal="left"/>
    </xf>
    <xf numFmtId="165" fontId="46" fillId="34" borderId="35" xfId="0" applyNumberFormat="1" applyFont="1" applyFill="1" applyBorder="1" applyAlignment="1" applyProtection="1">
      <alignment horizontal="right"/>
    </xf>
    <xf numFmtId="0" fontId="46" fillId="28" borderId="0" xfId="0" applyFont="1" applyFill="1" applyProtection="1"/>
    <xf numFmtId="165" fontId="46" fillId="34" borderId="36" xfId="0" applyNumberFormat="1" applyFont="1" applyFill="1" applyBorder="1" applyAlignment="1" applyProtection="1">
      <alignment horizontal="right"/>
    </xf>
    <xf numFmtId="169" fontId="46" fillId="0" borderId="0" xfId="0" applyNumberFormat="1" applyFont="1" applyAlignment="1">
      <alignment horizontal="left"/>
    </xf>
    <xf numFmtId="165" fontId="47" fillId="34" borderId="30" xfId="0" applyNumberFormat="1" applyFont="1" applyFill="1" applyBorder="1" applyAlignment="1" applyProtection="1">
      <alignment horizontal="right"/>
    </xf>
    <xf numFmtId="3" fontId="46" fillId="34" borderId="30" xfId="0" applyNumberFormat="1" applyFont="1" applyFill="1" applyBorder="1" applyAlignment="1" applyProtection="1">
      <alignment horizontal="right"/>
    </xf>
    <xf numFmtId="0" fontId="48" fillId="0" borderId="0" xfId="0" applyFont="1"/>
    <xf numFmtId="2" fontId="11" fillId="24" borderId="11" xfId="0" applyNumberFormat="1" applyFont="1" applyFill="1" applyBorder="1" applyAlignment="1">
      <alignment horizontal="center"/>
    </xf>
    <xf numFmtId="2" fontId="11" fillId="24" borderId="21" xfId="0" applyNumberFormat="1" applyFont="1" applyFill="1" applyBorder="1" applyAlignment="1">
      <alignment horizontal="center"/>
    </xf>
    <xf numFmtId="2" fontId="11" fillId="24" borderId="10" xfId="0" applyNumberFormat="1" applyFont="1" applyFill="1" applyBorder="1" applyAlignment="1">
      <alignment horizontal="center"/>
    </xf>
    <xf numFmtId="2" fontId="11" fillId="24" borderId="37" xfId="0" applyNumberFormat="1" applyFont="1" applyFill="1" applyBorder="1" applyAlignment="1">
      <alignment horizontal="center"/>
    </xf>
    <xf numFmtId="6" fontId="35" fillId="24" borderId="37" xfId="45" applyNumberFormat="1" applyFont="1" applyFill="1" applyBorder="1" applyAlignment="1">
      <alignment horizontal="right"/>
    </xf>
    <xf numFmtId="169" fontId="46" fillId="0" borderId="0" xfId="0" applyNumberFormat="1" applyFont="1"/>
    <xf numFmtId="0" fontId="36" fillId="39" borderId="0" xfId="45" applyFont="1" applyFill="1"/>
    <xf numFmtId="0" fontId="35" fillId="39" borderId="0" xfId="45" applyFont="1" applyFill="1"/>
    <xf numFmtId="0" fontId="35" fillId="39" borderId="31" xfId="45" applyFont="1" applyFill="1" applyBorder="1"/>
    <xf numFmtId="166" fontId="35" fillId="39" borderId="31" xfId="45" applyNumberFormat="1" applyFont="1" applyFill="1" applyBorder="1"/>
    <xf numFmtId="0" fontId="40" fillId="39" borderId="0" xfId="45" applyFont="1" applyFill="1"/>
    <xf numFmtId="0" fontId="11" fillId="39" borderId="0" xfId="0" applyFont="1" applyFill="1"/>
    <xf numFmtId="0" fontId="11" fillId="39" borderId="31" xfId="0" applyFont="1" applyFill="1" applyBorder="1"/>
    <xf numFmtId="0" fontId="11" fillId="39" borderId="31" xfId="0" applyFont="1" applyFill="1" applyBorder="1" applyAlignment="1">
      <alignment horizontal="right"/>
    </xf>
    <xf numFmtId="0" fontId="35" fillId="39" borderId="31" xfId="45" applyFont="1" applyFill="1" applyBorder="1" applyAlignment="1">
      <alignment horizontal="right"/>
    </xf>
    <xf numFmtId="0" fontId="35" fillId="39" borderId="0" xfId="45" applyFont="1" applyFill="1" applyAlignment="1"/>
    <xf numFmtId="169" fontId="35" fillId="39" borderId="31" xfId="45" applyNumberFormat="1" applyFont="1" applyFill="1" applyBorder="1"/>
    <xf numFmtId="166" fontId="46" fillId="0" borderId="0" xfId="0" applyNumberFormat="1" applyFont="1" applyAlignment="1">
      <alignment horizontal="left"/>
    </xf>
    <xf numFmtId="165" fontId="46" fillId="0" borderId="0" xfId="0" applyNumberFormat="1" applyFont="1" applyAlignment="1">
      <alignment horizontal="left"/>
    </xf>
    <xf numFmtId="166" fontId="11" fillId="39" borderId="31" xfId="0" applyNumberFormat="1" applyFont="1" applyFill="1" applyBorder="1" applyAlignment="1">
      <alignment horizontal="right"/>
    </xf>
    <xf numFmtId="166" fontId="35" fillId="39" borderId="31" xfId="45" applyNumberFormat="1" applyFont="1" applyFill="1" applyBorder="1" applyAlignment="1">
      <alignment horizontal="right"/>
    </xf>
    <xf numFmtId="165" fontId="47" fillId="34" borderId="31" xfId="0" applyNumberFormat="1" applyFont="1" applyFill="1" applyBorder="1" applyAlignment="1" applyProtection="1">
      <alignment horizontal="right"/>
    </xf>
    <xf numFmtId="0" fontId="47" fillId="28" borderId="0" xfId="0" applyFont="1" applyFill="1" applyProtection="1"/>
    <xf numFmtId="165" fontId="46" fillId="28" borderId="44" xfId="0" applyNumberFormat="1" applyFont="1" applyFill="1" applyBorder="1" applyAlignment="1" applyProtection="1">
      <alignment horizontal="right"/>
    </xf>
    <xf numFmtId="165" fontId="46" fillId="28" borderId="0" xfId="0" applyNumberFormat="1" applyFont="1" applyFill="1" applyBorder="1" applyAlignment="1" applyProtection="1">
      <alignment horizontal="right"/>
    </xf>
    <xf numFmtId="0" fontId="46" fillId="28" borderId="0" xfId="0" applyFont="1" applyFill="1" applyBorder="1" applyAlignment="1" applyProtection="1">
      <alignment horizontal="left"/>
    </xf>
    <xf numFmtId="0" fontId="46" fillId="28" borderId="44" xfId="0" applyFont="1" applyFill="1" applyBorder="1" applyAlignment="1" applyProtection="1">
      <alignment horizontal="left"/>
    </xf>
    <xf numFmtId="0" fontId="46" fillId="28" borderId="0" xfId="0" applyFont="1" applyFill="1" applyBorder="1" applyAlignment="1" applyProtection="1">
      <alignment horizontal="left" wrapText="1"/>
    </xf>
    <xf numFmtId="0" fontId="46" fillId="28" borderId="0" xfId="0" applyFont="1" applyFill="1" applyAlignment="1" applyProtection="1">
      <alignment horizontal="left" vertical="center" wrapText="1"/>
    </xf>
    <xf numFmtId="0" fontId="0" fillId="0" borderId="0" xfId="0" applyAlignment="1">
      <alignment horizontal="center"/>
    </xf>
    <xf numFmtId="0" fontId="46" fillId="28" borderId="0" xfId="0" applyFont="1" applyFill="1" applyAlignment="1">
      <alignment wrapText="1"/>
    </xf>
    <xf numFmtId="0" fontId="0" fillId="28" borderId="0" xfId="0" applyFill="1"/>
    <xf numFmtId="0" fontId="43" fillId="28" borderId="0" xfId="0" applyFont="1" applyFill="1" applyBorder="1" applyAlignment="1">
      <alignment horizontal="center"/>
    </xf>
    <xf numFmtId="0" fontId="43" fillId="28" borderId="0" xfId="0" applyFont="1" applyFill="1" applyAlignment="1" applyProtection="1">
      <alignment horizontal="left" wrapText="1"/>
    </xf>
    <xf numFmtId="165" fontId="47" fillId="34" borderId="45" xfId="0" applyNumberFormat="1" applyFont="1" applyFill="1" applyBorder="1" applyAlignment="1" applyProtection="1">
      <alignment horizontal="right" vertical="center"/>
    </xf>
    <xf numFmtId="0" fontId="64" fillId="28" borderId="0" xfId="0" applyFont="1" applyFill="1" applyBorder="1" applyAlignment="1" applyProtection="1">
      <alignment horizontal="center" vertical="top"/>
    </xf>
    <xf numFmtId="0" fontId="45" fillId="28" borderId="0" xfId="0" applyFont="1" applyFill="1" applyBorder="1" applyAlignment="1" applyProtection="1">
      <alignment horizontal="left" vertical="top" wrapText="1"/>
    </xf>
    <xf numFmtId="0" fontId="45" fillId="28" borderId="0" xfId="0" applyFont="1" applyFill="1" applyBorder="1" applyAlignment="1">
      <alignment horizontal="center" vertical="top"/>
    </xf>
    <xf numFmtId="0" fontId="45" fillId="28" borderId="0" xfId="0" applyFont="1" applyFill="1" applyAlignment="1" applyProtection="1">
      <alignment horizontal="left" vertical="top" wrapText="1"/>
    </xf>
    <xf numFmtId="0" fontId="48" fillId="28" borderId="0" xfId="0" applyFont="1" applyFill="1" applyAlignment="1"/>
    <xf numFmtId="0" fontId="48" fillId="28" borderId="0" xfId="0" applyFont="1" applyFill="1" applyProtection="1"/>
    <xf numFmtId="168" fontId="46" fillId="0" borderId="31" xfId="0" applyNumberFormat="1" applyFont="1" applyFill="1" applyBorder="1" applyAlignment="1" applyProtection="1">
      <alignment horizontal="right" vertical="center"/>
      <protection locked="0"/>
    </xf>
    <xf numFmtId="3" fontId="46" fillId="0" borderId="31" xfId="0" applyNumberFormat="1" applyFont="1" applyFill="1" applyBorder="1" applyAlignment="1" applyProtection="1">
      <alignment horizontal="right" vertical="center"/>
      <protection locked="0"/>
    </xf>
    <xf numFmtId="0" fontId="71" fillId="0" borderId="0" xfId="0" applyFont="1" applyAlignment="1">
      <alignment horizontal="left"/>
    </xf>
    <xf numFmtId="0" fontId="66" fillId="0" borderId="0" xfId="0" applyFont="1"/>
    <xf numFmtId="0" fontId="66" fillId="0" borderId="0" xfId="0" applyFont="1" applyAlignment="1">
      <alignment horizontal="center"/>
    </xf>
    <xf numFmtId="169" fontId="35" fillId="24" borderId="48" xfId="45" applyNumberFormat="1" applyFont="1" applyFill="1" applyBorder="1"/>
    <xf numFmtId="0" fontId="35" fillId="24" borderId="49" xfId="45" applyFont="1" applyFill="1" applyBorder="1"/>
    <xf numFmtId="0" fontId="35" fillId="24" borderId="50" xfId="45" applyFont="1" applyFill="1" applyBorder="1"/>
    <xf numFmtId="0" fontId="35" fillId="24" borderId="51" xfId="45" applyFont="1" applyFill="1" applyBorder="1"/>
    <xf numFmtId="165" fontId="46" fillId="34" borderId="30" xfId="0" applyNumberFormat="1" applyFont="1" applyFill="1" applyBorder="1" applyAlignment="1" applyProtection="1">
      <alignment horizontal="right"/>
    </xf>
    <xf numFmtId="0" fontId="48" fillId="28" borderId="0" xfId="0" applyFont="1" applyFill="1" applyAlignment="1" applyProtection="1">
      <alignment horizontal="left"/>
    </xf>
    <xf numFmtId="0" fontId="72" fillId="28" borderId="0" xfId="0" applyFont="1" applyFill="1" applyProtection="1"/>
    <xf numFmtId="0" fontId="73" fillId="35" borderId="0" xfId="47" applyFont="1" applyFill="1"/>
    <xf numFmtId="0" fontId="1" fillId="0" borderId="0" xfId="47"/>
    <xf numFmtId="0" fontId="74" fillId="0" borderId="0" xfId="48"/>
    <xf numFmtId="0" fontId="73" fillId="38" borderId="0" xfId="47" applyFont="1" applyFill="1"/>
    <xf numFmtId="0" fontId="73" fillId="35" borderId="0" xfId="0" applyFont="1" applyFill="1"/>
    <xf numFmtId="0" fontId="73" fillId="38" borderId="0" xfId="0" applyFont="1" applyFill="1"/>
    <xf numFmtId="0" fontId="72" fillId="28" borderId="0" xfId="0" applyFont="1" applyFill="1" applyAlignment="1" applyProtection="1">
      <alignment horizontal="left"/>
    </xf>
    <xf numFmtId="0" fontId="0" fillId="0" borderId="0" xfId="0" applyAlignment="1">
      <alignment vertical="top" wrapText="1"/>
    </xf>
    <xf numFmtId="0" fontId="0" fillId="0" borderId="0" xfId="0" applyAlignment="1">
      <alignment vertical="top"/>
    </xf>
    <xf numFmtId="0" fontId="48" fillId="28" borderId="0" xfId="0" applyFont="1" applyFill="1" applyBorder="1" applyProtection="1"/>
    <xf numFmtId="0" fontId="0" fillId="34" borderId="13" xfId="0" applyFill="1" applyBorder="1" applyProtection="1"/>
    <xf numFmtId="0" fontId="0" fillId="34" borderId="0" xfId="0" applyFill="1" applyBorder="1" applyProtection="1"/>
    <xf numFmtId="0" fontId="12" fillId="34" borderId="0" xfId="0" applyFont="1" applyFill="1" applyBorder="1" applyProtection="1"/>
    <xf numFmtId="0" fontId="3" fillId="34" borderId="0" xfId="0" applyFont="1" applyFill="1" applyBorder="1" applyProtection="1"/>
    <xf numFmtId="0" fontId="0" fillId="34" borderId="16" xfId="0" applyFill="1" applyBorder="1" applyProtection="1"/>
    <xf numFmtId="0" fontId="57" fillId="34" borderId="0" xfId="0" applyFont="1" applyFill="1" applyBorder="1" applyProtection="1"/>
    <xf numFmtId="0" fontId="75" fillId="34" borderId="0" xfId="0" applyFont="1" applyFill="1" applyBorder="1" applyProtection="1"/>
    <xf numFmtId="0" fontId="0" fillId="34" borderId="0" xfId="0" applyFill="1" applyProtection="1"/>
    <xf numFmtId="0" fontId="9" fillId="34" borderId="0" xfId="0" applyFont="1" applyFill="1" applyBorder="1" applyAlignment="1" applyProtection="1">
      <alignment horizontal="center"/>
    </xf>
    <xf numFmtId="0" fontId="8" fillId="34" borderId="0" xfId="0" applyFont="1" applyFill="1" applyBorder="1" applyAlignment="1" applyProtection="1">
      <alignment horizontal="center"/>
    </xf>
    <xf numFmtId="0" fontId="58" fillId="34" borderId="0" xfId="0" applyFont="1" applyFill="1" applyAlignment="1" applyProtection="1">
      <alignment horizontal="left" vertical="top"/>
    </xf>
    <xf numFmtId="0" fontId="48" fillId="34" borderId="0" xfId="0" applyFont="1" applyFill="1" applyAlignment="1" applyProtection="1">
      <alignment horizontal="left" vertical="top" wrapText="1"/>
    </xf>
    <xf numFmtId="0" fontId="61" fillId="34" borderId="0" xfId="0" applyFont="1" applyFill="1" applyBorder="1" applyProtection="1"/>
    <xf numFmtId="0" fontId="47" fillId="34" borderId="0" xfId="0" applyFont="1" applyFill="1" applyBorder="1" applyAlignment="1" applyProtection="1">
      <alignment horizontal="left" vertical="center"/>
    </xf>
    <xf numFmtId="0" fontId="47" fillId="34" borderId="0" xfId="0" applyFont="1" applyFill="1" applyBorder="1" applyAlignment="1" applyProtection="1">
      <alignment vertical="center"/>
    </xf>
    <xf numFmtId="2" fontId="46" fillId="34" borderId="0" xfId="0" applyNumberFormat="1" applyFont="1" applyFill="1" applyBorder="1" applyAlignment="1" applyProtection="1">
      <alignment horizontal="center" vertical="center"/>
    </xf>
    <xf numFmtId="0" fontId="68" fillId="34" borderId="0" xfId="0" applyFont="1" applyFill="1" applyBorder="1" applyProtection="1"/>
    <xf numFmtId="0" fontId="68" fillId="34" borderId="0" xfId="0" applyFont="1" applyFill="1" applyProtection="1"/>
    <xf numFmtId="0" fontId="46" fillId="34" borderId="0" xfId="0" applyFont="1" applyFill="1" applyBorder="1" applyAlignment="1" applyProtection="1">
      <alignment horizontal="left" vertical="center"/>
    </xf>
    <xf numFmtId="0" fontId="77" fillId="34" borderId="0" xfId="0" applyFont="1" applyFill="1" applyBorder="1" applyAlignment="1" applyProtection="1">
      <alignment vertical="center"/>
    </xf>
    <xf numFmtId="0" fontId="76" fillId="34" borderId="0" xfId="0" applyFont="1" applyFill="1" applyBorder="1" applyProtection="1"/>
    <xf numFmtId="0" fontId="8" fillId="34" borderId="0" xfId="0" applyFont="1" applyFill="1" applyBorder="1" applyAlignment="1" applyProtection="1">
      <alignment horizontal="left"/>
    </xf>
    <xf numFmtId="0" fontId="0" fillId="34" borderId="16" xfId="0" applyFill="1" applyBorder="1" applyAlignment="1" applyProtection="1">
      <alignment horizontal="center"/>
    </xf>
    <xf numFmtId="2" fontId="46" fillId="34" borderId="32" xfId="0" applyNumberFormat="1" applyFont="1" applyFill="1" applyBorder="1" applyAlignment="1" applyProtection="1">
      <alignment horizontal="center" vertical="center"/>
    </xf>
    <xf numFmtId="0" fontId="67" fillId="34" borderId="0" xfId="0" applyFont="1" applyFill="1" applyProtection="1"/>
    <xf numFmtId="0" fontId="67" fillId="34" borderId="0" xfId="0" applyFont="1" applyFill="1" applyBorder="1" applyProtection="1"/>
    <xf numFmtId="0" fontId="62" fillId="34" borderId="0" xfId="0" applyFont="1" applyFill="1" applyBorder="1" applyAlignment="1" applyProtection="1"/>
    <xf numFmtId="0" fontId="0" fillId="34" borderId="0" xfId="0" applyFill="1" applyBorder="1" applyAlignment="1" applyProtection="1">
      <alignment horizontal="center"/>
    </xf>
    <xf numFmtId="0" fontId="70" fillId="34" borderId="0" xfId="0" applyFont="1" applyFill="1" applyBorder="1" applyProtection="1"/>
    <xf numFmtId="0" fontId="47" fillId="34" borderId="0" xfId="0" applyFont="1" applyFill="1" applyBorder="1" applyProtection="1"/>
    <xf numFmtId="0" fontId="69" fillId="34" borderId="0" xfId="0" applyFont="1" applyFill="1" applyProtection="1"/>
    <xf numFmtId="0" fontId="59" fillId="34" borderId="0" xfId="0" applyFont="1" applyFill="1" applyBorder="1" applyProtection="1"/>
    <xf numFmtId="0" fontId="48" fillId="34" borderId="33" xfId="0" applyFont="1" applyFill="1" applyBorder="1" applyAlignment="1" applyProtection="1">
      <alignment vertical="center"/>
    </xf>
    <xf numFmtId="0" fontId="54" fillId="34" borderId="32" xfId="0" applyFont="1" applyFill="1" applyBorder="1" applyProtection="1"/>
    <xf numFmtId="0" fontId="46" fillId="34" borderId="32" xfId="0" applyFont="1" applyFill="1" applyBorder="1" applyProtection="1"/>
    <xf numFmtId="0" fontId="0" fillId="34" borderId="32" xfId="0" applyFill="1" applyBorder="1" applyProtection="1"/>
    <xf numFmtId="0" fontId="0" fillId="34" borderId="15" xfId="0" applyFill="1" applyBorder="1" applyProtection="1"/>
    <xf numFmtId="0" fontId="0" fillId="34" borderId="17" xfId="0" applyFill="1" applyBorder="1" applyProtection="1"/>
    <xf numFmtId="0" fontId="0" fillId="34" borderId="34" xfId="0" applyFill="1" applyBorder="1" applyProtection="1"/>
    <xf numFmtId="0" fontId="48" fillId="34" borderId="16" xfId="0" applyFont="1" applyFill="1" applyBorder="1" applyAlignment="1" applyProtection="1">
      <alignment vertical="center"/>
    </xf>
    <xf numFmtId="0" fontId="46" fillId="34" borderId="0" xfId="0" applyFont="1" applyFill="1" applyBorder="1" applyProtection="1"/>
    <xf numFmtId="0" fontId="0" fillId="34" borderId="18" xfId="0" applyFill="1" applyBorder="1" applyProtection="1"/>
    <xf numFmtId="0" fontId="0" fillId="34" borderId="19" xfId="0" applyFill="1" applyBorder="1" applyProtection="1"/>
    <xf numFmtId="44" fontId="7" fillId="34" borderId="19" xfId="28" applyFont="1" applyFill="1" applyBorder="1" applyAlignment="1" applyProtection="1">
      <alignment horizontal="center"/>
    </xf>
    <xf numFmtId="44" fontId="7" fillId="34" borderId="20" xfId="28" applyFont="1" applyFill="1" applyBorder="1" applyAlignment="1" applyProtection="1">
      <alignment horizontal="center"/>
    </xf>
    <xf numFmtId="0" fontId="78" fillId="34" borderId="0" xfId="0" applyFont="1" applyFill="1" applyBorder="1" applyAlignment="1" applyProtection="1">
      <alignment vertical="center"/>
    </xf>
    <xf numFmtId="170" fontId="79" fillId="34" borderId="0" xfId="0" applyNumberFormat="1" applyFont="1" applyFill="1" applyBorder="1" applyAlignment="1" applyProtection="1">
      <alignment horizontal="right" vertical="center"/>
      <protection locked="0"/>
    </xf>
    <xf numFmtId="0" fontId="79" fillId="34" borderId="0" xfId="0" applyFont="1" applyFill="1" applyBorder="1" applyAlignment="1" applyProtection="1">
      <alignment horizontal="left" vertical="center"/>
    </xf>
    <xf numFmtId="0" fontId="80" fillId="34" borderId="0" xfId="0" applyFont="1" applyFill="1" applyBorder="1" applyAlignment="1" applyProtection="1">
      <alignment horizontal="center"/>
    </xf>
    <xf numFmtId="2" fontId="79" fillId="34" borderId="0" xfId="0" applyNumberFormat="1" applyFont="1" applyFill="1" applyBorder="1" applyAlignment="1" applyProtection="1">
      <alignment horizontal="center" vertical="center"/>
    </xf>
    <xf numFmtId="0" fontId="81" fillId="34" borderId="0" xfId="0" applyFont="1" applyFill="1" applyBorder="1" applyAlignment="1" applyProtection="1">
      <alignment vertical="center"/>
    </xf>
    <xf numFmtId="0" fontId="78" fillId="34" borderId="0" xfId="0" applyFont="1" applyFill="1" applyBorder="1" applyAlignment="1" applyProtection="1">
      <alignment horizontal="center"/>
    </xf>
    <xf numFmtId="0" fontId="78" fillId="34" borderId="0" xfId="0" applyFont="1" applyFill="1" applyProtection="1"/>
    <xf numFmtId="0" fontId="79" fillId="34" borderId="0" xfId="0" applyFont="1" applyFill="1" applyProtection="1"/>
    <xf numFmtId="0" fontId="79" fillId="34" borderId="0" xfId="0" applyFont="1" applyFill="1" applyBorder="1" applyAlignment="1" applyProtection="1">
      <alignment horizontal="right" vertical="center"/>
      <protection locked="0"/>
    </xf>
    <xf numFmtId="0" fontId="79" fillId="34" borderId="0" xfId="0" applyFont="1" applyFill="1" applyBorder="1" applyProtection="1"/>
    <xf numFmtId="3" fontId="79" fillId="34" borderId="0" xfId="0" applyNumberFormat="1" applyFont="1" applyFill="1" applyBorder="1" applyAlignment="1" applyProtection="1">
      <alignment horizontal="right" vertical="center"/>
      <protection locked="0"/>
    </xf>
    <xf numFmtId="0" fontId="82" fillId="34" borderId="0" xfId="0" applyFont="1" applyFill="1" applyProtection="1"/>
    <xf numFmtId="0" fontId="82" fillId="34" borderId="0" xfId="0" applyFont="1" applyFill="1" applyBorder="1" applyProtection="1"/>
    <xf numFmtId="168" fontId="79" fillId="34" borderId="0" xfId="0" applyNumberFormat="1" applyFont="1" applyFill="1" applyBorder="1" applyAlignment="1" applyProtection="1">
      <alignment horizontal="right" vertical="center"/>
      <protection locked="0"/>
    </xf>
    <xf numFmtId="0" fontId="83" fillId="34" borderId="0" xfId="0" applyFont="1" applyFill="1" applyBorder="1" applyAlignment="1" applyProtection="1">
      <alignment vertical="center"/>
    </xf>
    <xf numFmtId="0" fontId="0" fillId="29" borderId="0" xfId="0" applyFill="1" applyProtection="1"/>
    <xf numFmtId="0" fontId="0" fillId="29" borderId="0" xfId="0" applyFill="1" applyBorder="1" applyProtection="1"/>
    <xf numFmtId="165" fontId="35" fillId="24" borderId="48" xfId="45" applyNumberFormat="1" applyFont="1" applyFill="1" applyBorder="1"/>
    <xf numFmtId="0" fontId="84" fillId="0" borderId="0" xfId="0" applyFont="1"/>
    <xf numFmtId="0" fontId="47" fillId="35" borderId="31" xfId="0" applyFont="1" applyFill="1" applyBorder="1" applyAlignment="1" applyProtection="1">
      <alignment horizontal="left"/>
    </xf>
    <xf numFmtId="0" fontId="47" fillId="28" borderId="41" xfId="0" applyFont="1" applyFill="1" applyBorder="1" applyAlignment="1" applyProtection="1">
      <alignment horizontal="left" vertical="center" wrapText="1"/>
    </xf>
    <xf numFmtId="0" fontId="46" fillId="38" borderId="35" xfId="0" applyFont="1" applyFill="1" applyBorder="1" applyAlignment="1" applyProtection="1">
      <alignment horizontal="left"/>
    </xf>
    <xf numFmtId="0" fontId="46" fillId="38" borderId="36" xfId="0" applyFont="1" applyFill="1" applyBorder="1" applyAlignment="1" applyProtection="1">
      <alignment horizontal="left"/>
    </xf>
    <xf numFmtId="0" fontId="47" fillId="38" borderId="30" xfId="0" applyFont="1" applyFill="1" applyBorder="1" applyAlignment="1" applyProtection="1">
      <alignment horizontal="left"/>
    </xf>
    <xf numFmtId="0" fontId="47" fillId="30" borderId="31" xfId="0" applyFont="1" applyFill="1" applyBorder="1" applyAlignment="1" applyProtection="1">
      <alignment horizontal="left"/>
    </xf>
    <xf numFmtId="0" fontId="65" fillId="28" borderId="13" xfId="0" applyFont="1" applyFill="1" applyBorder="1" applyAlignment="1" applyProtection="1">
      <alignment horizontal="center" vertical="center"/>
    </xf>
    <xf numFmtId="0" fontId="65" fillId="28" borderId="14" xfId="0" applyFont="1" applyFill="1" applyBorder="1" applyAlignment="1" applyProtection="1">
      <alignment horizontal="center" vertical="center"/>
    </xf>
    <xf numFmtId="0" fontId="65" fillId="28" borderId="15" xfId="0" applyFont="1" applyFill="1" applyBorder="1" applyAlignment="1" applyProtection="1">
      <alignment horizontal="center" vertical="center"/>
    </xf>
    <xf numFmtId="0" fontId="65" fillId="28" borderId="16" xfId="0" applyFont="1" applyFill="1" applyBorder="1" applyAlignment="1" applyProtection="1">
      <alignment horizontal="center" vertical="center"/>
    </xf>
    <xf numFmtId="0" fontId="65" fillId="28" borderId="0" xfId="0" applyFont="1" applyFill="1" applyBorder="1" applyAlignment="1" applyProtection="1">
      <alignment horizontal="center" vertical="center"/>
    </xf>
    <xf numFmtId="0" fontId="65" fillId="28" borderId="17" xfId="0" applyFont="1" applyFill="1" applyBorder="1" applyAlignment="1" applyProtection="1">
      <alignment horizontal="center" vertical="center"/>
    </xf>
    <xf numFmtId="0" fontId="8" fillId="34" borderId="0" xfId="0" applyFont="1" applyFill="1" applyBorder="1" applyAlignment="1" applyProtection="1">
      <alignment horizontal="center"/>
    </xf>
    <xf numFmtId="0" fontId="46" fillId="38" borderId="42" xfId="0" applyFont="1" applyFill="1" applyBorder="1" applyAlignment="1" applyProtection="1">
      <alignment horizontal="left"/>
    </xf>
    <xf numFmtId="0" fontId="46" fillId="38" borderId="43" xfId="0" applyFont="1" applyFill="1" applyBorder="1" applyAlignment="1" applyProtection="1">
      <alignment horizontal="left"/>
    </xf>
    <xf numFmtId="0" fontId="46" fillId="38" borderId="30" xfId="0" applyFont="1" applyFill="1" applyBorder="1" applyAlignment="1" applyProtection="1">
      <alignment horizontal="left"/>
    </xf>
    <xf numFmtId="0" fontId="47" fillId="32" borderId="30" xfId="0" applyFont="1" applyFill="1" applyBorder="1" applyAlignment="1" applyProtection="1">
      <alignment horizontal="left"/>
    </xf>
    <xf numFmtId="0" fontId="49" fillId="40" borderId="46" xfId="0" applyFont="1" applyFill="1" applyBorder="1" applyAlignment="1" applyProtection="1">
      <alignment horizontal="left" vertical="center"/>
    </xf>
    <xf numFmtId="0" fontId="49" fillId="40" borderId="47" xfId="0" applyFont="1" applyFill="1" applyBorder="1" applyAlignment="1" applyProtection="1">
      <alignment horizontal="left" vertical="center"/>
    </xf>
    <xf numFmtId="0" fontId="46" fillId="32" borderId="30" xfId="0" applyFont="1" applyFill="1" applyBorder="1" applyAlignment="1" applyProtection="1">
      <alignment horizontal="left"/>
    </xf>
    <xf numFmtId="0" fontId="35" fillId="39" borderId="31" xfId="45" applyFont="1" applyFill="1" applyBorder="1" applyAlignment="1">
      <alignment horizontal="center"/>
    </xf>
    <xf numFmtId="0" fontId="35" fillId="39" borderId="0" xfId="45" applyFont="1" applyFill="1" applyAlignment="1">
      <alignment horizontal="left" vertical="top" wrapText="1"/>
    </xf>
    <xf numFmtId="0" fontId="11" fillId="39" borderId="31" xfId="0" applyFont="1" applyFill="1" applyBorder="1" applyAlignment="1">
      <alignment horizontal="center" wrapText="1"/>
    </xf>
    <xf numFmtId="0" fontId="35" fillId="39" borderId="31" xfId="45" applyFont="1" applyFill="1" applyBorder="1" applyAlignment="1">
      <alignment horizontal="left" vertical="center"/>
    </xf>
    <xf numFmtId="0" fontId="35" fillId="39" borderId="38" xfId="45" applyFont="1" applyFill="1" applyBorder="1" applyAlignment="1">
      <alignment horizontal="left" vertical="center" wrapText="1"/>
    </xf>
    <xf numFmtId="0" fontId="35" fillId="39" borderId="39" xfId="45" applyFont="1" applyFill="1" applyBorder="1" applyAlignment="1">
      <alignment horizontal="left" vertical="center" wrapText="1"/>
    </xf>
    <xf numFmtId="0" fontId="35" fillId="39" borderId="40" xfId="45" applyFont="1" applyFill="1" applyBorder="1" applyAlignment="1">
      <alignment horizontal="left" vertical="center" wrapText="1"/>
    </xf>
    <xf numFmtId="0" fontId="35" fillId="39" borderId="38" xfId="45" applyFont="1" applyFill="1" applyBorder="1" applyAlignment="1">
      <alignment horizontal="left" vertical="center"/>
    </xf>
    <xf numFmtId="0" fontId="35" fillId="39" borderId="39" xfId="45" applyFont="1" applyFill="1" applyBorder="1" applyAlignment="1">
      <alignment horizontal="left" vertical="center"/>
    </xf>
    <xf numFmtId="0" fontId="35" fillId="39" borderId="40" xfId="45" applyFont="1" applyFill="1" applyBorder="1" applyAlignment="1">
      <alignment horizontal="left" vertical="center"/>
    </xf>
    <xf numFmtId="0" fontId="35" fillId="24" borderId="10" xfId="0" applyFont="1" applyFill="1" applyBorder="1" applyAlignment="1">
      <alignment horizontal="center"/>
    </xf>
    <xf numFmtId="0" fontId="35" fillId="24" borderId="10" xfId="0" applyFont="1" applyFill="1" applyBorder="1" applyAlignment="1">
      <alignment horizontal="center" vertical="center"/>
    </xf>
    <xf numFmtId="0" fontId="40" fillId="24" borderId="10" xfId="45" applyFont="1" applyFill="1" applyBorder="1" applyAlignment="1">
      <alignment horizontal="center"/>
    </xf>
    <xf numFmtId="0" fontId="35" fillId="24" borderId="10" xfId="45" applyFont="1" applyFill="1" applyBorder="1" applyAlignment="1">
      <alignment horizontal="left"/>
    </xf>
    <xf numFmtId="166" fontId="44" fillId="0" borderId="0" xfId="0" applyNumberFormat="1" applyFont="1" applyAlignment="1">
      <alignment horizontal="center" vertical="center"/>
    </xf>
  </cellXfs>
  <cellStyles count="4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46" builtinId="3"/>
    <cellStyle name="Currency" xfId="28" builtinId="4"/>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Hyperlink 2" xfId="48" xr:uid="{336EE556-9C49-4E46-90F8-9780DA028883}"/>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3" xfId="45" xr:uid="{4D2AE963-3CC5-4487-BA81-28E754699A67}"/>
    <cellStyle name="Normal 4" xfId="47" xr:uid="{3AAF3B3C-1802-499F-A8AD-57C7EB077A9A}"/>
    <cellStyle name="Normal_Sheet3" xfId="39" xr:uid="{00000000-0005-0000-0000-000029000000}"/>
    <cellStyle name="Note 2" xfId="40" xr:uid="{00000000-0005-0000-0000-00002C000000}"/>
    <cellStyle name="Output 2" xfId="41" xr:uid="{00000000-0005-0000-0000-00002D000000}"/>
    <cellStyle name="Title 2" xfId="42" xr:uid="{00000000-0005-0000-0000-00002E000000}"/>
    <cellStyle name="Total 2" xfId="43" xr:uid="{00000000-0005-0000-0000-00002F000000}"/>
    <cellStyle name="Warning Text 2" xfId="44" xr:uid="{00000000-0005-0000-0000-000030000000}"/>
  </cellStyles>
  <dxfs count="33">
    <dxf>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numFmt numFmtId="0" formatCode="General"/>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rgb="FF92D05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protection locked="1" hidden="0"/>
    </dxf>
    <dxf>
      <border>
        <bottom style="thin">
          <color indexed="64"/>
        </bottom>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9.9499999999999993"/>
        <color indexed="10"/>
        <name val="Arial"/>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9.9499999999999993"/>
        <color indexed="10"/>
        <name val="Arial"/>
        <family val="2"/>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9.9499999999999993"/>
        <color rgb="FFFF0000"/>
        <name val="Arial"/>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indexed="8"/>
        <name val="Arial"/>
        <family val="2"/>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8"/>
        </left>
        <right style="thin">
          <color indexed="8"/>
        </right>
        <top/>
        <bottom/>
      </border>
      <protection locked="1" hidden="0"/>
    </dxf>
    <dxf>
      <fill>
        <patternFill>
          <bgColor theme="0"/>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1"/>
      </font>
    </dxf>
    <dxf>
      <fill>
        <patternFill>
          <bgColor rgb="FFFFFF00"/>
        </patternFill>
      </fill>
    </dxf>
    <dxf>
      <font>
        <color theme="1"/>
      </font>
      <fill>
        <patternFill>
          <bgColor theme="0"/>
        </patternFill>
      </fill>
      <border>
        <left style="thin">
          <color theme="0" tint="-0.499984740745262"/>
        </left>
        <right style="thin">
          <color theme="0" tint="-0.499984740745262"/>
        </right>
        <top style="thin">
          <color theme="0" tint="-0.499984740745262"/>
        </top>
        <bottom style="thin">
          <color theme="0" tint="-0.499984740745262"/>
        </bottom>
      </border>
    </dxf>
    <dxf>
      <font>
        <color theme="1"/>
      </font>
    </dxf>
    <dxf>
      <font>
        <b/>
        <i val="0"/>
        <color theme="1"/>
      </font>
    </dxf>
    <dxf>
      <font>
        <b/>
        <i val="0"/>
        <color theme="1"/>
      </font>
    </dxf>
    <dxf>
      <font>
        <color theme="1"/>
      </font>
      <fill>
        <patternFill>
          <bgColor theme="0"/>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1"/>
      </font>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color rgb="FFDDDDDD"/>
      <color rgb="FFFF99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22" fmlaLink="Reference!$C$3" fmlaRange="Reference!$O$2:$O$16" noThreeD="1" sel="1" val="0"/>
</file>

<file path=xl/ctrlProps/ctrlProp2.xml><?xml version="1.0" encoding="utf-8"?>
<formControlPr xmlns="http://schemas.microsoft.com/office/spreadsheetml/2009/9/main" objectType="Drop" dropStyle="combo" dx="22" fmlaLink="Reference!$C$5" fmlaRange="Reference!$P$2:$P$9" noThreeD="1" sel="1" val="0"/>
</file>

<file path=xl/ctrlProps/ctrlProp3.xml><?xml version="1.0" encoding="utf-8"?>
<formControlPr xmlns="http://schemas.microsoft.com/office/spreadsheetml/2009/9/main" objectType="Drop" dropLines="6" dropStyle="combo" dx="22" fmlaLink="Reference!$C$11" fmlaRange="Reference!$Q$2:$Q$7" noThreeD="1" sel="1" val="0"/>
</file>

<file path=xl/ctrlProps/ctrlProp4.xml><?xml version="1.0" encoding="utf-8"?>
<formControlPr xmlns="http://schemas.microsoft.com/office/spreadsheetml/2009/9/main" objectType="Drop" dropLines="4" dropStyle="combo" dx="22" fmlaLink="Reference!$C$7" fmlaRange="Reference!$S$2:$S$5" noThreeD="1" sel="1" val="0"/>
</file>

<file path=xl/ctrlProps/ctrlProp5.xml><?xml version="1.0" encoding="utf-8"?>
<formControlPr xmlns="http://schemas.microsoft.com/office/spreadsheetml/2009/9/main" objectType="CheckBox" fmlaLink="Reference!$C$10" lockText="1" noThreeD="1"/>
</file>

<file path=xl/ctrlProps/ctrlProp6.xml><?xml version="1.0" encoding="utf-8"?>
<formControlPr xmlns="http://schemas.microsoft.com/office/spreadsheetml/2009/9/main" objectType="Drop" dropLines="15" dropStyle="combo" dx="22" fmlaLink="Reference!$C$2" fmlaRange="Reference!$N$2:$N$16" noThreeD="1" sel="1" val="0"/>
</file>

<file path=xl/ctrlProps/ctrlProp7.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57151</xdr:colOff>
      <xdr:row>1</xdr:row>
      <xdr:rowOff>38100</xdr:rowOff>
    </xdr:from>
    <xdr:to>
      <xdr:col>12</xdr:col>
      <xdr:colOff>76201</xdr:colOff>
      <xdr:row>2</xdr:row>
      <xdr:rowOff>230226</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58201" y="95250"/>
          <a:ext cx="933450" cy="535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781050</xdr:colOff>
          <xdr:row>12</xdr:row>
          <xdr:rowOff>9525</xdr:rowOff>
        </xdr:to>
        <xdr:sp macro="" textlink="">
          <xdr:nvSpPr>
            <xdr:cNvPr id="5151" name="Drop Down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4</xdr:col>
          <xdr:colOff>781050</xdr:colOff>
          <xdr:row>15</xdr:row>
          <xdr:rowOff>171450</xdr:rowOff>
        </xdr:to>
        <xdr:sp macro="" textlink="">
          <xdr:nvSpPr>
            <xdr:cNvPr id="5163" name="Drop Down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133350</xdr:rowOff>
        </xdr:from>
        <xdr:to>
          <xdr:col>10</xdr:col>
          <xdr:colOff>323850</xdr:colOff>
          <xdr:row>9</xdr:row>
          <xdr:rowOff>171450</xdr:rowOff>
        </xdr:to>
        <xdr:sp macro="" textlink="">
          <xdr:nvSpPr>
            <xdr:cNvPr id="5166" name="Drop Down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4</xdr:col>
          <xdr:colOff>781050</xdr:colOff>
          <xdr:row>28</xdr:row>
          <xdr:rowOff>9525</xdr:rowOff>
        </xdr:to>
        <xdr:sp macro="" textlink="">
          <xdr:nvSpPr>
            <xdr:cNvPr id="5180" name="Drop Down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85725</xdr:rowOff>
        </xdr:from>
        <xdr:to>
          <xdr:col>6</xdr:col>
          <xdr:colOff>638175</xdr:colOff>
          <xdr:row>11</xdr:row>
          <xdr:rowOff>76200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Tick if using Tilbury Lock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142875</xdr:rowOff>
        </xdr:from>
        <xdr:to>
          <xdr:col>4</xdr:col>
          <xdr:colOff>781050</xdr:colOff>
          <xdr:row>9</xdr:row>
          <xdr:rowOff>180975</xdr:rowOff>
        </xdr:to>
        <xdr:sp macro="" textlink="">
          <xdr:nvSpPr>
            <xdr:cNvPr id="5182" name="Drop Down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6</xdr:col>
      <xdr:colOff>781050</xdr:colOff>
      <xdr:row>4</xdr:row>
      <xdr:rowOff>57150</xdr:rowOff>
    </xdr:from>
    <xdr:to>
      <xdr:col>6</xdr:col>
      <xdr:colOff>800100</xdr:colOff>
      <xdr:row>36</xdr:row>
      <xdr:rowOff>28575</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4610100" y="723900"/>
          <a:ext cx="19050" cy="3371850"/>
        </a:xfrm>
        <a:prstGeom prst="line">
          <a:avLst/>
        </a:prstGeom>
        <a:ln>
          <a:solidFill>
            <a:schemeClr val="bg1">
              <a:lumMod val="7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xdr:col>
      <xdr:colOff>867352</xdr:colOff>
      <xdr:row>55</xdr:row>
      <xdr:rowOff>0</xdr:rowOff>
    </xdr:from>
    <xdr:to>
      <xdr:col>12</xdr:col>
      <xdr:colOff>0</xdr:colOff>
      <xdr:row>62</xdr:row>
      <xdr:rowOff>123676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696402" y="6296025"/>
          <a:ext cx="4619048" cy="11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14</xdr:row>
          <xdr:rowOff>85725</xdr:rowOff>
        </xdr:from>
        <xdr:to>
          <xdr:col>1</xdr:col>
          <xdr:colOff>3324225</xdr:colOff>
          <xdr:row>17</xdr:row>
          <xdr:rowOff>104775</xdr:rowOff>
        </xdr:to>
        <xdr:sp macro="" textlink="">
          <xdr:nvSpPr>
            <xdr:cNvPr id="7169" name="Group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OPTIONAL - to determine if Through Pilot can be used (if available)</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B06FC1-A54A-4337-950B-DD418A07E8F5}" name="LocationIndex2" displayName="LocationIndex2" ref="B1:C15" totalsRowShown="0" headerRowDxfId="22" dataDxfId="21" headerRowCellStyle="Normal_Sheet3">
  <autoFilter ref="B1:C15" xr:uid="{A6EABBD9-ED4D-411F-AFE4-F2F186BB6AF0}"/>
  <tableColumns count="2">
    <tableColumn id="1" xr3:uid="{31E3FDBB-1DAC-44FF-B1F8-582F0933AFA8}" name="Location Name" dataDxfId="20"/>
    <tableColumn id="6" xr3:uid="{B7F0E36F-AD8D-47BB-BF64-675B29A66AC1}" name="Sector" dataDxf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D72B4D8-4BD4-4889-9607-B56C3D451719}" name="FindRates5" displayName="FindRates5" ref="H1:U145" totalsRowShown="0" headerRowDxfId="18" dataDxfId="16" headerRowBorderDxfId="17" tableBorderDxfId="15" totalsRowBorderDxfId="14">
  <autoFilter ref="H1:U145" xr:uid="{A0BAC143-E257-4526-9417-AF606EA870CA}"/>
  <tableColumns count="14">
    <tableColumn id="1" xr3:uid="{10BB65AA-16B1-457C-A34A-8086DAB32D9F}" name="Code" dataDxfId="13">
      <calculatedColumnFormula>FindRates5[[#This Row],[FromCode]]&amp;FindRates5[[#This Row],[Tocode]]</calculatedColumnFormula>
    </tableColumn>
    <tableColumn id="2" xr3:uid="{1C22A222-BC33-4A7A-AE68-167DC618ECB9}" name="SeaRate" dataDxfId="12"/>
    <tableColumn id="3" xr3:uid="{EFB8701C-7E74-416E-B47D-E3ABB09D2C69}" name="RiverRate" dataDxfId="11"/>
    <tableColumn id="4" xr3:uid="{76A8EF3E-C24F-4078-8FDF-DA73FA94357D}" name="BLNES" dataDxfId="10"/>
    <tableColumn id="12" xr3:uid="{B5A1214B-2149-4411-A374-79CA757660D7}" name="BLWARP" dataDxfId="9"/>
    <tableColumn id="5" xr3:uid="{DC9CF1A7-6D72-4A48-B61A-476A7CB2CB29}" name="BLMEDWY" dataDxfId="8"/>
    <tableColumn id="6" xr3:uid="{603ADEDA-23C2-48D8-A66A-27E6612A764F}" name="BLSUNK" dataDxfId="7"/>
    <tableColumn id="7" xr3:uid="{ACEB8FD9-98F0-48B7-9254-3B563901A466}" name="BLGSND" dataDxfId="6"/>
    <tableColumn id="13" xr3:uid="{75D7C1AC-6D39-400B-B67C-887A1774404A}" name="BLHSL" dataDxfId="5"/>
    <tableColumn id="8" xr3:uid="{9FD0E93B-B6D1-4CDD-B5EE-68BE935E7DDE}" name="FromCode" dataDxfId="4"/>
    <tableColumn id="9" xr3:uid="{C616AC4E-ACAF-4977-9A4D-872CE0116076}" name="Tocode" dataDxfId="3"/>
    <tableColumn id="10" xr3:uid="{BCDD8A69-62C6-4F6B-8AAC-1807693022F7}" name="FromName" dataDxfId="2">
      <calculatedColumnFormula>VLOOKUP(FindRates5[[#This Row],[FromCode]],$A$2:$B$14,2,FALSE)</calculatedColumnFormula>
    </tableColumn>
    <tableColumn id="11" xr3:uid="{AFE97153-410E-4A55-83CC-731C67731380}" name="ToName" dataDxfId="1">
      <calculatedColumnFormula>VLOOKUP(FindRates5[[#This Row],[Tocode]],$A$2:$B$14,2,FALSE)</calculatedColumnFormula>
    </tableColumn>
    <tableColumn id="14" xr3:uid="{68AD08A8-F502-4B52-9392-2A2E658A2C82}" name="Comments (Formul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https://oec.world/en/product-landing/hs"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C09E8-B0EB-42DE-998C-C4D9988313B8}">
  <sheetPr codeName="Sheet1">
    <tabColor theme="8" tint="-0.499984740745262"/>
    <pageSetUpPr fitToPage="1"/>
  </sheetPr>
  <dimension ref="A1:O68"/>
  <sheetViews>
    <sheetView showGridLines="0" showRowColHeaders="0" tabSelected="1" zoomScaleNormal="100" workbookViewId="0">
      <selection activeCell="I12" sqref="I12"/>
    </sheetView>
  </sheetViews>
  <sheetFormatPr defaultColWidth="0" defaultRowHeight="12.75" zeroHeight="1" x14ac:dyDescent="0.2"/>
  <cols>
    <col min="1" max="1" width="0.85546875" style="3" customWidth="1"/>
    <col min="2" max="2" width="1.7109375" style="3" customWidth="1"/>
    <col min="3" max="12" width="13.7109375" style="3" customWidth="1"/>
    <col min="13" max="13" width="1.7109375" style="3" customWidth="1"/>
    <col min="14" max="14" width="1" style="3" customWidth="1"/>
    <col min="15" max="15" width="31.5703125" style="3" hidden="1" customWidth="1"/>
    <col min="16" max="16384" width="9.140625" style="3" hidden="1"/>
  </cols>
  <sheetData>
    <row r="1" spans="1:15" ht="4.5" customHeight="1" thickBot="1" x14ac:dyDescent="0.25">
      <c r="A1" s="310"/>
      <c r="B1" s="310"/>
      <c r="C1" s="310"/>
      <c r="D1" s="310"/>
      <c r="E1" s="310"/>
      <c r="F1" s="310"/>
      <c r="G1" s="310"/>
      <c r="H1" s="310"/>
      <c r="I1" s="310"/>
      <c r="J1" s="310"/>
      <c r="K1" s="310"/>
      <c r="L1" s="310"/>
      <c r="M1" s="310"/>
      <c r="N1" s="310"/>
    </row>
    <row r="2" spans="1:15" ht="27" customHeight="1" x14ac:dyDescent="0.2">
      <c r="A2" s="310"/>
      <c r="B2" s="320" t="s">
        <v>467</v>
      </c>
      <c r="C2" s="321"/>
      <c r="D2" s="321"/>
      <c r="E2" s="321"/>
      <c r="F2" s="321"/>
      <c r="G2" s="321"/>
      <c r="H2" s="321"/>
      <c r="I2" s="321"/>
      <c r="J2" s="321"/>
      <c r="K2" s="321"/>
      <c r="L2" s="321"/>
      <c r="M2" s="322"/>
      <c r="N2" s="310"/>
    </row>
    <row r="3" spans="1:15" ht="18.75" customHeight="1" x14ac:dyDescent="0.2">
      <c r="A3" s="310"/>
      <c r="B3" s="323" t="s">
        <v>483</v>
      </c>
      <c r="C3" s="324"/>
      <c r="D3" s="324"/>
      <c r="E3" s="324"/>
      <c r="F3" s="324"/>
      <c r="G3" s="324"/>
      <c r="H3" s="324"/>
      <c r="I3" s="324"/>
      <c r="J3" s="324"/>
      <c r="K3" s="324"/>
      <c r="L3" s="324"/>
      <c r="M3" s="325"/>
      <c r="N3" s="310"/>
      <c r="O3"/>
    </row>
    <row r="4" spans="1:15" ht="2.25" customHeight="1" thickBot="1" x14ac:dyDescent="0.25">
      <c r="A4" s="310"/>
      <c r="B4" s="45"/>
      <c r="C4" s="44"/>
      <c r="D4" s="44"/>
      <c r="E4" s="44"/>
      <c r="F4" s="44"/>
      <c r="G4" s="44"/>
      <c r="H4" s="44"/>
      <c r="I4" s="44"/>
      <c r="J4" s="44"/>
      <c r="K4" s="44"/>
      <c r="L4" s="44"/>
      <c r="M4" s="101"/>
      <c r="N4" s="310"/>
      <c r="O4"/>
    </row>
    <row r="5" spans="1:15" ht="6" customHeight="1" x14ac:dyDescent="0.25">
      <c r="A5" s="310"/>
      <c r="B5" s="249"/>
      <c r="C5" s="250"/>
      <c r="D5" s="251"/>
      <c r="E5" s="251"/>
      <c r="F5" s="251"/>
      <c r="G5" s="251"/>
      <c r="H5" s="250"/>
      <c r="I5" s="252"/>
      <c r="J5" s="252"/>
      <c r="K5" s="252"/>
      <c r="L5" s="250"/>
      <c r="M5" s="285"/>
      <c r="N5" s="310"/>
      <c r="O5"/>
    </row>
    <row r="6" spans="1:15" ht="15" x14ac:dyDescent="0.25">
      <c r="A6" s="310"/>
      <c r="B6" s="253"/>
      <c r="C6" s="254" t="s">
        <v>468</v>
      </c>
      <c r="D6" s="251"/>
      <c r="E6" s="251"/>
      <c r="F6" s="251"/>
      <c r="G6" s="251"/>
      <c r="H6" s="255" t="str">
        <f>IF(OR(fFrom=7,fTo=7),"Note:  Conservancy charges for LGW visits are not included within this estimate.","")</f>
        <v/>
      </c>
      <c r="I6" s="256"/>
      <c r="J6" s="252"/>
      <c r="K6" s="252"/>
      <c r="L6" s="250"/>
      <c r="M6" s="286"/>
      <c r="N6" s="310"/>
      <c r="O6"/>
    </row>
    <row r="7" spans="1:15" x14ac:dyDescent="0.2">
      <c r="A7" s="310"/>
      <c r="B7" s="253"/>
      <c r="C7" s="250"/>
      <c r="D7" s="250"/>
      <c r="E7" s="326"/>
      <c r="F7" s="326"/>
      <c r="G7" s="326"/>
      <c r="H7" s="326"/>
      <c r="I7" s="257"/>
      <c r="J7" s="258"/>
      <c r="K7" s="258"/>
      <c r="L7" s="250"/>
      <c r="M7" s="286"/>
      <c r="N7" s="310"/>
      <c r="O7"/>
    </row>
    <row r="8" spans="1:15" ht="12.75" customHeight="1" x14ac:dyDescent="0.2">
      <c r="A8" s="310"/>
      <c r="B8" s="253"/>
      <c r="C8" s="259" t="s">
        <v>257</v>
      </c>
      <c r="D8" s="260"/>
      <c r="E8" s="260"/>
      <c r="F8" s="250"/>
      <c r="G8" s="256"/>
      <c r="H8" s="261" t="s">
        <v>263</v>
      </c>
      <c r="I8" s="257"/>
      <c r="J8" s="258"/>
      <c r="K8" s="258"/>
      <c r="L8" s="250"/>
      <c r="M8" s="286"/>
      <c r="N8" s="310"/>
      <c r="O8"/>
    </row>
    <row r="9" spans="1:15" x14ac:dyDescent="0.2">
      <c r="A9" s="310"/>
      <c r="B9" s="253"/>
      <c r="C9" s="260"/>
      <c r="D9" s="260"/>
      <c r="E9" s="260"/>
      <c r="F9" s="250"/>
      <c r="G9" s="250"/>
      <c r="H9" s="250"/>
      <c r="I9" s="257"/>
      <c r="J9" s="258"/>
      <c r="K9" s="258"/>
      <c r="L9" s="250"/>
      <c r="M9" s="286"/>
      <c r="N9" s="310"/>
      <c r="O9"/>
    </row>
    <row r="10" spans="1:15" ht="15" customHeight="1" x14ac:dyDescent="0.2">
      <c r="A10" s="310"/>
      <c r="B10" s="253"/>
      <c r="C10" s="262" t="s">
        <v>269</v>
      </c>
      <c r="D10" s="250"/>
      <c r="E10" s="250"/>
      <c r="F10" s="250"/>
      <c r="G10" s="250"/>
      <c r="H10" s="263" t="s">
        <v>459</v>
      </c>
      <c r="I10" s="257"/>
      <c r="J10" s="258"/>
      <c r="K10" s="258"/>
      <c r="L10" s="250"/>
      <c r="M10" s="286"/>
      <c r="N10" s="310"/>
      <c r="O10"/>
    </row>
    <row r="11" spans="1:15" ht="2.4500000000000002" customHeight="1" x14ac:dyDescent="0.2">
      <c r="A11" s="310"/>
      <c r="B11" s="253"/>
      <c r="C11" s="250"/>
      <c r="D11" s="250"/>
      <c r="E11" s="250"/>
      <c r="F11" s="250"/>
      <c r="G11" s="250"/>
      <c r="H11" s="250"/>
      <c r="I11" s="257"/>
      <c r="J11" s="258"/>
      <c r="K11" s="258"/>
      <c r="L11" s="250"/>
      <c r="M11" s="286"/>
      <c r="N11" s="310"/>
      <c r="O11"/>
    </row>
    <row r="12" spans="1:15" ht="15" customHeight="1" x14ac:dyDescent="0.2">
      <c r="A12" s="310"/>
      <c r="B12" s="253"/>
      <c r="C12" s="262" t="s">
        <v>270</v>
      </c>
      <c r="D12" s="250"/>
      <c r="E12" s="250"/>
      <c r="F12" s="250"/>
      <c r="G12" s="250"/>
      <c r="H12" s="294" t="s">
        <v>265</v>
      </c>
      <c r="I12" s="295"/>
      <c r="J12" s="296" t="s">
        <v>264</v>
      </c>
      <c r="K12" s="297"/>
      <c r="L12" s="250"/>
      <c r="M12" s="286"/>
      <c r="N12" s="310"/>
      <c r="O12"/>
    </row>
    <row r="13" spans="1:15" ht="2.4500000000000002" customHeight="1" x14ac:dyDescent="0.2">
      <c r="A13" s="310"/>
      <c r="B13" s="253"/>
      <c r="C13" s="250"/>
      <c r="D13" s="250"/>
      <c r="E13" s="250"/>
      <c r="F13" s="250"/>
      <c r="G13" s="250"/>
      <c r="H13" s="294"/>
      <c r="I13" s="298"/>
      <c r="J13" s="297"/>
      <c r="K13" s="297"/>
      <c r="L13" s="250"/>
      <c r="M13" s="286"/>
      <c r="N13" s="310"/>
      <c r="O13"/>
    </row>
    <row r="14" spans="1:15" ht="15" customHeight="1" x14ac:dyDescent="0.2">
      <c r="A14" s="310"/>
      <c r="B14" s="253"/>
      <c r="C14" s="250"/>
      <c r="D14" s="250"/>
      <c r="E14" s="250"/>
      <c r="F14" s="250"/>
      <c r="G14" s="250"/>
      <c r="H14" s="299" t="s">
        <v>220</v>
      </c>
      <c r="I14" s="298"/>
      <c r="J14" s="297"/>
      <c r="K14" s="300"/>
      <c r="L14" s="265"/>
      <c r="M14" s="286"/>
      <c r="N14" s="310"/>
      <c r="O14"/>
    </row>
    <row r="15" spans="1:15" ht="2.4500000000000002" customHeight="1" x14ac:dyDescent="0.2">
      <c r="A15" s="310"/>
      <c r="B15" s="253"/>
      <c r="C15" s="250"/>
      <c r="D15" s="250"/>
      <c r="E15" s="250"/>
      <c r="F15" s="250"/>
      <c r="G15" s="250"/>
      <c r="H15" s="294"/>
      <c r="I15" s="298"/>
      <c r="J15" s="297"/>
      <c r="K15" s="300"/>
      <c r="L15" s="265"/>
      <c r="M15" s="286"/>
      <c r="N15" s="310"/>
      <c r="O15"/>
    </row>
    <row r="16" spans="1:15" ht="15" customHeight="1" x14ac:dyDescent="0.2">
      <c r="A16" s="310"/>
      <c r="B16" s="253"/>
      <c r="C16" s="262" t="s">
        <v>259</v>
      </c>
      <c r="D16" s="250"/>
      <c r="E16" s="250"/>
      <c r="F16" s="250"/>
      <c r="G16" s="250"/>
      <c r="H16" s="301" t="s">
        <v>221</v>
      </c>
      <c r="I16" s="301" t="s">
        <v>284</v>
      </c>
      <c r="J16" s="301" t="s">
        <v>460</v>
      </c>
      <c r="K16" s="300"/>
      <c r="L16" s="265"/>
      <c r="M16" s="286"/>
      <c r="N16" s="310"/>
      <c r="O16"/>
    </row>
    <row r="17" spans="1:15" ht="2.4500000000000002" customHeight="1" x14ac:dyDescent="0.2">
      <c r="A17" s="310"/>
      <c r="B17" s="253"/>
      <c r="C17" s="250"/>
      <c r="D17" s="250"/>
      <c r="E17" s="250"/>
      <c r="F17" s="250"/>
      <c r="G17" s="250"/>
      <c r="H17" s="302"/>
      <c r="I17" s="302"/>
      <c r="J17" s="302"/>
      <c r="K17" s="300"/>
      <c r="L17" s="265"/>
      <c r="M17" s="286"/>
      <c r="N17" s="310"/>
      <c r="O17"/>
    </row>
    <row r="18" spans="1:15" ht="15" customHeight="1" x14ac:dyDescent="0.2">
      <c r="A18" s="310"/>
      <c r="B18" s="253"/>
      <c r="C18" s="262" t="s">
        <v>348</v>
      </c>
      <c r="D18" s="227"/>
      <c r="E18" s="267" t="s">
        <v>258</v>
      </c>
      <c r="F18" s="268"/>
      <c r="G18" s="269"/>
      <c r="H18" s="302" t="s">
        <v>260</v>
      </c>
      <c r="I18" s="302" t="s">
        <v>280</v>
      </c>
      <c r="J18" s="303"/>
      <c r="K18" s="302"/>
      <c r="L18" s="266"/>
      <c r="M18" s="286"/>
      <c r="N18" s="310"/>
      <c r="O18"/>
    </row>
    <row r="19" spans="1:15" ht="2.4500000000000002" customHeight="1" x14ac:dyDescent="0.2">
      <c r="A19" s="310"/>
      <c r="B19" s="253"/>
      <c r="C19" s="250"/>
      <c r="D19" s="270">
        <v>14.7</v>
      </c>
      <c r="E19" s="250"/>
      <c r="F19" s="268"/>
      <c r="G19" s="269"/>
      <c r="H19" s="302" t="s">
        <v>260</v>
      </c>
      <c r="I19" s="302"/>
      <c r="J19" s="304"/>
      <c r="K19" s="302"/>
      <c r="L19" s="266"/>
      <c r="M19" s="286"/>
      <c r="N19" s="310"/>
      <c r="O19"/>
    </row>
    <row r="20" spans="1:15" ht="15" customHeight="1" x14ac:dyDescent="0.2">
      <c r="A20" s="310"/>
      <c r="B20" s="271"/>
      <c r="C20" s="262" t="s">
        <v>0</v>
      </c>
      <c r="D20" s="227"/>
      <c r="E20" s="267" t="s">
        <v>258</v>
      </c>
      <c r="F20" s="268"/>
      <c r="G20" s="269"/>
      <c r="H20" s="302" t="s">
        <v>260</v>
      </c>
      <c r="I20" s="302" t="s">
        <v>281</v>
      </c>
      <c r="J20" s="305"/>
      <c r="K20" s="302"/>
      <c r="L20" s="266"/>
      <c r="M20" s="286"/>
      <c r="N20" s="310"/>
      <c r="O20"/>
    </row>
    <row r="21" spans="1:15" ht="2.4500000000000002" customHeight="1" x14ac:dyDescent="0.2">
      <c r="A21" s="310"/>
      <c r="B21" s="271"/>
      <c r="C21" s="263"/>
      <c r="D21" s="272"/>
      <c r="E21" s="267"/>
      <c r="F21" s="268"/>
      <c r="G21" s="269"/>
      <c r="H21" s="302" t="s">
        <v>260</v>
      </c>
      <c r="I21" s="302"/>
      <c r="J21" s="304"/>
      <c r="K21" s="300"/>
      <c r="L21" s="265"/>
      <c r="M21" s="286"/>
      <c r="N21" s="310"/>
      <c r="O21"/>
    </row>
    <row r="22" spans="1:15" ht="15" customHeight="1" x14ac:dyDescent="0.2">
      <c r="A22" s="310"/>
      <c r="B22" s="271"/>
      <c r="C22" s="262" t="s">
        <v>347</v>
      </c>
      <c r="D22" s="228"/>
      <c r="E22" s="267" t="s">
        <v>264</v>
      </c>
      <c r="F22" s="268"/>
      <c r="G22" s="269"/>
      <c r="H22" s="302" t="s">
        <v>260</v>
      </c>
      <c r="I22" s="302" t="s">
        <v>282</v>
      </c>
      <c r="J22" s="305"/>
      <c r="K22" s="306"/>
      <c r="L22" s="273"/>
      <c r="M22" s="286"/>
      <c r="N22" s="310"/>
      <c r="O22"/>
    </row>
    <row r="23" spans="1:15" ht="2.4500000000000002" customHeight="1" x14ac:dyDescent="0.2">
      <c r="A23" s="310"/>
      <c r="B23" s="271"/>
      <c r="C23" s="263"/>
      <c r="D23" s="264"/>
      <c r="E23" s="267"/>
      <c r="F23" s="268"/>
      <c r="G23" s="269"/>
      <c r="H23" s="302" t="s">
        <v>260</v>
      </c>
      <c r="I23" s="304"/>
      <c r="J23" s="300"/>
      <c r="K23" s="306"/>
      <c r="L23" s="273"/>
      <c r="M23" s="286"/>
      <c r="N23" s="310"/>
      <c r="O23"/>
    </row>
    <row r="24" spans="1:15" ht="14.25" customHeight="1" x14ac:dyDescent="0.2">
      <c r="A24" s="310"/>
      <c r="B24" s="253"/>
      <c r="C24" s="294" t="s">
        <v>1</v>
      </c>
      <c r="D24" s="308"/>
      <c r="E24" s="296" t="s">
        <v>469</v>
      </c>
      <c r="F24" s="309"/>
      <c r="G24" s="269"/>
      <c r="H24" s="302" t="s">
        <v>260</v>
      </c>
      <c r="I24" s="302" t="s">
        <v>283</v>
      </c>
      <c r="J24" s="305"/>
      <c r="K24" s="306"/>
      <c r="L24" s="273"/>
      <c r="M24" s="286"/>
      <c r="N24" s="310"/>
      <c r="O24"/>
    </row>
    <row r="25" spans="1:15" ht="2.4500000000000002" customHeight="1" x14ac:dyDescent="0.2">
      <c r="A25" s="310"/>
      <c r="B25" s="253"/>
      <c r="C25" s="294"/>
      <c r="D25" s="298"/>
      <c r="E25" s="296"/>
      <c r="F25" s="307"/>
      <c r="G25" s="274"/>
      <c r="H25" s="302" t="s">
        <v>260</v>
      </c>
      <c r="I25" s="304"/>
      <c r="J25" s="300"/>
      <c r="K25" s="307"/>
      <c r="L25" s="274"/>
      <c r="M25" s="286"/>
      <c r="N25" s="310"/>
      <c r="O25"/>
    </row>
    <row r="26" spans="1:15" ht="15" customHeight="1" x14ac:dyDescent="0.2">
      <c r="A26" s="310"/>
      <c r="B26" s="253"/>
      <c r="C26" s="256"/>
      <c r="D26" s="250"/>
      <c r="E26" s="256"/>
      <c r="F26" s="250"/>
      <c r="G26" s="274"/>
      <c r="H26" s="302" t="s">
        <v>261</v>
      </c>
      <c r="I26" s="304" t="s">
        <v>249</v>
      </c>
      <c r="J26" s="305"/>
      <c r="K26" s="306"/>
      <c r="L26" s="273"/>
      <c r="M26" s="286"/>
      <c r="N26" s="310"/>
      <c r="O26"/>
    </row>
    <row r="27" spans="1:15" ht="2.25" customHeight="1" x14ac:dyDescent="0.2">
      <c r="A27" s="310"/>
      <c r="B27" s="271"/>
      <c r="C27" s="256"/>
      <c r="D27" s="256"/>
      <c r="E27" s="256"/>
      <c r="F27" s="252"/>
      <c r="G27" s="274"/>
      <c r="H27" s="256"/>
      <c r="I27" s="256"/>
      <c r="J27" s="256"/>
      <c r="K27" s="256"/>
      <c r="L27" s="256"/>
      <c r="M27" s="286"/>
      <c r="N27" s="310"/>
      <c r="O27"/>
    </row>
    <row r="28" spans="1:15" ht="15" customHeight="1" x14ac:dyDescent="0.2">
      <c r="A28" s="310"/>
      <c r="B28" s="253"/>
      <c r="C28" s="275" t="s">
        <v>346</v>
      </c>
      <c r="D28" s="256"/>
      <c r="E28" s="256"/>
      <c r="F28" s="256"/>
      <c r="G28" s="274"/>
      <c r="H28" s="256"/>
      <c r="I28" s="256"/>
      <c r="J28" s="256"/>
      <c r="K28" s="256"/>
      <c r="L28" s="256"/>
      <c r="M28" s="286"/>
      <c r="N28" s="310"/>
      <c r="O28"/>
    </row>
    <row r="29" spans="1:15" ht="2.4500000000000002" customHeight="1" x14ac:dyDescent="0.2">
      <c r="A29" s="310"/>
      <c r="B29" s="253"/>
      <c r="C29" s="256"/>
      <c r="D29" s="256"/>
      <c r="E29" s="256"/>
      <c r="F29" s="256"/>
      <c r="G29" s="274"/>
      <c r="H29" s="256"/>
      <c r="I29" s="256"/>
      <c r="J29" s="256"/>
      <c r="K29" s="256"/>
      <c r="L29" s="256"/>
      <c r="M29" s="286"/>
      <c r="N29" s="310"/>
      <c r="O29"/>
    </row>
    <row r="30" spans="1:15" ht="14.25" customHeight="1" x14ac:dyDescent="0.2">
      <c r="A30" s="310"/>
      <c r="B30" s="253"/>
      <c r="C30" s="256"/>
      <c r="D30" s="256"/>
      <c r="E30" s="256"/>
      <c r="F30" s="250"/>
      <c r="G30" s="274"/>
      <c r="H30" s="256"/>
      <c r="I30" s="256"/>
      <c r="J30" s="256"/>
      <c r="K30" s="256"/>
      <c r="L30" s="256"/>
      <c r="M30" s="286"/>
      <c r="N30" s="310"/>
      <c r="O30"/>
    </row>
    <row r="31" spans="1:15" ht="2.4500000000000002" hidden="1" customHeight="1" x14ac:dyDescent="0.2">
      <c r="A31" s="310"/>
      <c r="B31" s="253"/>
      <c r="C31" s="256"/>
      <c r="D31" s="276"/>
      <c r="E31" s="276"/>
      <c r="F31" s="250"/>
      <c r="G31" s="277"/>
      <c r="H31" s="256"/>
      <c r="I31" s="256"/>
      <c r="J31" s="256"/>
      <c r="K31" s="256"/>
      <c r="L31" s="256"/>
      <c r="M31" s="286"/>
      <c r="N31" s="310"/>
      <c r="O31"/>
    </row>
    <row r="32" spans="1:15" hidden="1" x14ac:dyDescent="0.2">
      <c r="A32" s="310"/>
      <c r="B32" s="253"/>
      <c r="C32" s="278"/>
      <c r="D32" s="276"/>
      <c r="E32" s="276"/>
      <c r="F32" s="250"/>
      <c r="G32" s="277"/>
      <c r="H32" s="256"/>
      <c r="I32" s="256"/>
      <c r="J32" s="256"/>
      <c r="K32" s="256"/>
      <c r="L32" s="256"/>
      <c r="M32" s="286"/>
      <c r="N32" s="310"/>
      <c r="O32"/>
    </row>
    <row r="33" spans="1:15" ht="2.4500000000000002" hidden="1" customHeight="1" x14ac:dyDescent="0.2">
      <c r="A33" s="310"/>
      <c r="B33" s="253"/>
      <c r="C33" s="250"/>
      <c r="D33" s="250"/>
      <c r="E33" s="250"/>
      <c r="F33" s="250"/>
      <c r="G33" s="277"/>
      <c r="H33" s="279"/>
      <c r="I33" s="279"/>
      <c r="J33" s="273"/>
      <c r="K33" s="273"/>
      <c r="L33" s="273"/>
      <c r="M33" s="286"/>
      <c r="N33" s="310"/>
      <c r="O33"/>
    </row>
    <row r="34" spans="1:15" ht="3" hidden="1" customHeight="1" x14ac:dyDescent="0.2">
      <c r="A34" s="310"/>
      <c r="B34" s="253"/>
      <c r="C34" s="250"/>
      <c r="D34" s="250"/>
      <c r="E34" s="250"/>
      <c r="F34" s="250"/>
      <c r="G34" s="277"/>
      <c r="H34" s="273"/>
      <c r="I34" s="273"/>
      <c r="J34" s="273"/>
      <c r="K34" s="273"/>
      <c r="L34" s="273"/>
      <c r="M34" s="286"/>
      <c r="N34" s="310"/>
      <c r="O34"/>
    </row>
    <row r="35" spans="1:15" ht="2.4500000000000002" hidden="1" customHeight="1" x14ac:dyDescent="0.2">
      <c r="A35" s="310"/>
      <c r="B35" s="253"/>
      <c r="C35" s="250"/>
      <c r="D35" s="250"/>
      <c r="E35" s="250"/>
      <c r="F35" s="250"/>
      <c r="G35" s="280"/>
      <c r="H35" s="280"/>
      <c r="I35" s="250"/>
      <c r="J35" s="250"/>
      <c r="K35" s="250"/>
      <c r="L35" s="250"/>
      <c r="M35" s="286"/>
      <c r="N35" s="310"/>
      <c r="O35"/>
    </row>
    <row r="36" spans="1:15" hidden="1" x14ac:dyDescent="0.2">
      <c r="A36" s="310"/>
      <c r="B36" s="253"/>
      <c r="C36" s="250"/>
      <c r="D36" s="250"/>
      <c r="E36" s="250"/>
      <c r="F36" s="250"/>
      <c r="G36" s="280"/>
      <c r="H36" s="280"/>
      <c r="I36" s="250"/>
      <c r="J36" s="250"/>
      <c r="K36" s="250"/>
      <c r="L36" s="250"/>
      <c r="M36" s="286"/>
      <c r="N36" s="310"/>
      <c r="O36"/>
    </row>
    <row r="37" spans="1:15" ht="5.0999999999999996" customHeight="1" x14ac:dyDescent="0.2">
      <c r="A37" s="310"/>
      <c r="B37" s="253"/>
      <c r="C37" s="250"/>
      <c r="D37" s="250"/>
      <c r="E37" s="250"/>
      <c r="F37" s="250"/>
      <c r="G37" s="280"/>
      <c r="H37" s="280"/>
      <c r="I37" s="250"/>
      <c r="J37" s="250"/>
      <c r="K37" s="250"/>
      <c r="L37" s="250"/>
      <c r="M37" s="286"/>
      <c r="N37" s="310"/>
      <c r="O37"/>
    </row>
    <row r="38" spans="1:15" ht="14.25" customHeight="1" x14ac:dyDescent="0.2">
      <c r="A38" s="310"/>
      <c r="B38" s="281" t="s">
        <v>273</v>
      </c>
      <c r="C38" s="282"/>
      <c r="D38" s="283"/>
      <c r="E38" s="283"/>
      <c r="F38" s="283"/>
      <c r="G38" s="283"/>
      <c r="H38" s="283"/>
      <c r="I38" s="283"/>
      <c r="J38" s="284"/>
      <c r="K38" s="284"/>
      <c r="L38" s="284"/>
      <c r="M38" s="287"/>
      <c r="N38" s="310"/>
      <c r="O38"/>
    </row>
    <row r="39" spans="1:15" ht="14.25" hidden="1" customHeight="1" x14ac:dyDescent="0.2">
      <c r="A39" s="310"/>
      <c r="B39" s="288"/>
      <c r="C39" s="289"/>
      <c r="D39" s="289"/>
      <c r="E39" s="289"/>
      <c r="F39" s="289"/>
      <c r="G39" s="289"/>
      <c r="H39" s="289"/>
      <c r="I39" s="289"/>
      <c r="J39" s="250"/>
      <c r="K39" s="250"/>
      <c r="L39" s="250"/>
      <c r="M39" s="286"/>
      <c r="N39" s="310"/>
      <c r="O39"/>
    </row>
    <row r="40" spans="1:15" ht="5.0999999999999996" customHeight="1" thickBot="1" x14ac:dyDescent="0.25">
      <c r="A40" s="310"/>
      <c r="B40" s="290"/>
      <c r="C40" s="291"/>
      <c r="D40" s="291"/>
      <c r="E40" s="291"/>
      <c r="F40" s="291"/>
      <c r="G40" s="291"/>
      <c r="H40" s="291"/>
      <c r="I40" s="291"/>
      <c r="J40" s="291"/>
      <c r="K40" s="291"/>
      <c r="L40" s="292"/>
      <c r="M40" s="293"/>
      <c r="N40" s="310"/>
      <c r="O40"/>
    </row>
    <row r="41" spans="1:15" ht="6.75" customHeight="1" x14ac:dyDescent="0.2">
      <c r="A41" s="310"/>
      <c r="B41" s="46"/>
      <c r="C41" s="49"/>
      <c r="D41" s="35"/>
      <c r="E41" s="34"/>
      <c r="F41" s="34"/>
      <c r="G41" s="34"/>
      <c r="H41" s="34"/>
      <c r="I41" s="34"/>
      <c r="J41" s="34"/>
      <c r="K41" s="34"/>
      <c r="L41" s="34"/>
      <c r="M41" s="50"/>
      <c r="N41" s="310"/>
      <c r="O41"/>
    </row>
    <row r="42" spans="1:15" ht="12" customHeight="1" x14ac:dyDescent="0.25">
      <c r="A42" s="310"/>
      <c r="B42" s="47"/>
      <c r="C42" s="173" t="s">
        <v>2</v>
      </c>
      <c r="D42" s="32"/>
      <c r="E42" s="33"/>
      <c r="F42" s="33"/>
      <c r="G42" s="33"/>
      <c r="H42" s="33"/>
      <c r="I42" s="33"/>
      <c r="J42" s="33"/>
      <c r="K42" s="33"/>
      <c r="L42" s="35"/>
      <c r="M42" s="38"/>
      <c r="N42" s="310"/>
      <c r="O42"/>
    </row>
    <row r="43" spans="1:15" ht="12" customHeight="1" x14ac:dyDescent="0.25">
      <c r="A43" s="310"/>
      <c r="B43" s="47"/>
      <c r="C43" s="42"/>
      <c r="D43" s="32"/>
      <c r="E43" s="33"/>
      <c r="F43" s="33"/>
      <c r="G43" s="33"/>
      <c r="H43" s="33"/>
      <c r="I43" s="33"/>
      <c r="J43" s="33"/>
      <c r="K43" s="33"/>
      <c r="L43" s="33"/>
      <c r="M43" s="38"/>
      <c r="N43" s="310"/>
      <c r="O43"/>
    </row>
    <row r="44" spans="1:15" ht="12" customHeight="1" x14ac:dyDescent="0.2">
      <c r="A44" s="310"/>
      <c r="B44" s="47"/>
      <c r="C44" s="180"/>
      <c r="D44" s="329" t="s">
        <v>292</v>
      </c>
      <c r="E44" s="329"/>
      <c r="F44" s="184" t="str">
        <f>IF(MandatoryCheck="N","",Pilots_Required)</f>
        <v/>
      </c>
      <c r="G44" s="180"/>
      <c r="H44" s="208" t="s">
        <v>361</v>
      </c>
      <c r="I44" s="180"/>
      <c r="J44" s="180"/>
      <c r="K44" s="180"/>
      <c r="L44" s="180"/>
      <c r="M44" s="38"/>
      <c r="N44" s="310"/>
      <c r="O44"/>
    </row>
    <row r="45" spans="1:15" ht="12" customHeight="1" x14ac:dyDescent="0.2">
      <c r="A45" s="310"/>
      <c r="B45" s="47"/>
      <c r="C45" s="180"/>
      <c r="D45" s="180"/>
      <c r="E45" s="180"/>
      <c r="F45" s="180"/>
      <c r="G45" s="180"/>
      <c r="H45" s="180"/>
      <c r="I45" s="180"/>
      <c r="J45" s="180"/>
      <c r="K45" s="180"/>
      <c r="L45" s="180"/>
      <c r="M45" s="38"/>
      <c r="N45" s="310"/>
      <c r="O45"/>
    </row>
    <row r="46" spans="1:15" ht="12" customHeight="1" x14ac:dyDescent="0.2">
      <c r="A46" s="310"/>
      <c r="B46" s="47"/>
      <c r="C46" s="178" t="s">
        <v>4</v>
      </c>
      <c r="D46" s="316" t="str">
        <f>IF(MandatoryCheck="N","","Band charge:  "&amp;Reference!H4)</f>
        <v/>
      </c>
      <c r="E46" s="316"/>
      <c r="F46" s="179" t="str">
        <f>IF(MandatoryCheck="N","",Reference!H7-Reference!H10)</f>
        <v/>
      </c>
      <c r="G46" s="226" t="s">
        <v>344</v>
      </c>
      <c r="H46" s="327" t="s">
        <v>156</v>
      </c>
      <c r="I46" s="328"/>
      <c r="J46" s="179" t="str">
        <f>IF(MandatoryCheck="N","",Estuary_Charge)</f>
        <v/>
      </c>
      <c r="K46" s="237"/>
      <c r="L46" s="180"/>
      <c r="M46" s="38"/>
      <c r="N46" s="311"/>
      <c r="O46"/>
    </row>
    <row r="47" spans="1:15" ht="12" customHeight="1" x14ac:dyDescent="0.2">
      <c r="A47" s="310"/>
      <c r="B47" s="47"/>
      <c r="C47" s="177"/>
      <c r="D47" s="317" t="str">
        <f>IF(MandatoryCheck="N","","Add. Specialist Pilot Charge")</f>
        <v/>
      </c>
      <c r="E47" s="317"/>
      <c r="F47" s="181" t="str">
        <f>IF(MandatoryCheck="N","",IF(OR(SpecPilotRequired="N",Reference!H12="Cruise2"),0,Reference!H15)+Reference!K20)</f>
        <v/>
      </c>
      <c r="G47" s="180"/>
      <c r="H47" s="327" t="s">
        <v>355</v>
      </c>
      <c r="I47" s="328"/>
      <c r="J47" s="179" t="str">
        <f>IF(MandatoryCheck="N","",IF(OR(fFrom=7,fTo=7),"na",IF(AND(Estuary_Charge&gt;0,Vessel_Conservancy_Charge&gt;0,(Estuary_Charge+Vessel_Conservancy_Charge)&lt;33),(33-Estuary_Charge)*ESI_Applicable_Rate,Vessel_Conservancy_Charge*ESI_Applicable_Rate)))</f>
        <v/>
      </c>
      <c r="K47" s="245" t="str">
        <f>IF(OR(fFrom=7,fTo=7),"Refer to DP World LGW charges",IF(OR(fESI=2,fESI=3),"(Includes "&amp;TEXT(ESI_Discount_Value,"£#,##0.00")&amp;" ESI discount)",IF(fESI=4,"(100% Zero Emissions discount)","")))</f>
        <v/>
      </c>
      <c r="L47" s="180"/>
      <c r="M47" s="38"/>
      <c r="N47" s="310"/>
      <c r="O47"/>
    </row>
    <row r="48" spans="1:15" ht="12" customHeight="1" x14ac:dyDescent="0.2">
      <c r="A48" s="310"/>
      <c r="B48" s="47"/>
      <c r="C48" s="177"/>
      <c r="D48" s="318" t="s">
        <v>293</v>
      </c>
      <c r="E48" s="318"/>
      <c r="F48" s="183" t="str">
        <f>IF(MandatoryCheck="N","",IF(F47=0,F46,(F46*Pilots_Required)+F47))</f>
        <v/>
      </c>
      <c r="G48" s="180"/>
      <c r="H48" s="327" t="s">
        <v>356</v>
      </c>
      <c r="I48" s="328"/>
      <c r="J48" s="179" t="str">
        <f>IF(MandatoryCheck="N","",IF(OR(fFrom=7,fTo=7),"na",Total_Cargo_Charge))</f>
        <v/>
      </c>
      <c r="K48" s="238" t="str">
        <f>IF(OR(fFrom=7,fTo=7),"Refer to DP World LGW charges",IF(J48=0,"Cargo details required",""))</f>
        <v/>
      </c>
      <c r="L48" s="180"/>
      <c r="M48" s="38"/>
      <c r="N48" s="310"/>
      <c r="O48"/>
    </row>
    <row r="49" spans="1:15" ht="12" customHeight="1" x14ac:dyDescent="0.2">
      <c r="A49" s="310"/>
      <c r="B49" s="47"/>
      <c r="C49" s="177"/>
      <c r="D49" s="180"/>
      <c r="E49" s="180"/>
      <c r="F49" s="180"/>
      <c r="G49" s="180"/>
      <c r="H49" s="327" t="s">
        <v>357</v>
      </c>
      <c r="I49" s="328"/>
      <c r="J49" s="179" t="str">
        <f>IF(MandatoryCheck="N","",Reference!K17)</f>
        <v/>
      </c>
      <c r="K49" s="238" t="str">
        <f>IF(J48=0,"Cargo details required","")</f>
        <v/>
      </c>
      <c r="L49" s="180"/>
      <c r="M49" s="38"/>
      <c r="N49" s="310"/>
      <c r="O49"/>
    </row>
    <row r="50" spans="1:15" ht="12" customHeight="1" x14ac:dyDescent="0.2">
      <c r="A50" s="310"/>
      <c r="B50" s="47"/>
      <c r="C50" s="178" t="s">
        <v>6</v>
      </c>
      <c r="D50" s="316" t="str">
        <f>IF(MandatoryCheck="N","","Band charge:  "&amp;Reference!H6)</f>
        <v/>
      </c>
      <c r="E50" s="316"/>
      <c r="F50" s="179" t="str">
        <f>IF(MandatoryCheck="N","",Reference!H8-Reference!H11)</f>
        <v/>
      </c>
      <c r="G50" s="226" t="s">
        <v>344</v>
      </c>
      <c r="H50" s="212"/>
      <c r="I50" s="212"/>
      <c r="J50" s="209"/>
      <c r="K50" s="180"/>
      <c r="L50" s="180"/>
      <c r="M50" s="38"/>
      <c r="N50" s="310"/>
      <c r="O50"/>
    </row>
    <row r="51" spans="1:15" ht="12" customHeight="1" x14ac:dyDescent="0.2">
      <c r="A51" s="310"/>
      <c r="B51" s="47"/>
      <c r="C51" s="177"/>
      <c r="D51" s="317" t="str">
        <f>IF(MandatoryCheck="N","","Add. Specialist Pilot Charge")</f>
        <v/>
      </c>
      <c r="E51" s="317"/>
      <c r="F51" s="181" t="str">
        <f>IF(MandatoryCheck="N","",IF(OR(SpecPilotRequired="N",Reference!H12&lt;&gt;"Cruise2"),0,Reference!H15))</f>
        <v/>
      </c>
      <c r="G51" s="180"/>
      <c r="H51" s="211"/>
      <c r="I51" s="211"/>
      <c r="J51" s="210"/>
      <c r="K51" s="180"/>
      <c r="L51" s="180"/>
      <c r="M51" s="38"/>
      <c r="N51" s="310"/>
      <c r="O51"/>
    </row>
    <row r="52" spans="1:15" ht="12" customHeight="1" x14ac:dyDescent="0.2">
      <c r="A52" s="310"/>
      <c r="B52" s="47"/>
      <c r="C52" s="33"/>
      <c r="D52" s="318" t="s">
        <v>293</v>
      </c>
      <c r="E52" s="318"/>
      <c r="F52" s="183" t="str">
        <f>IF(MandatoryCheck="N","",IF(F51=0,F50,(F50*Pilots_Required)+F51))</f>
        <v/>
      </c>
      <c r="G52" s="180"/>
      <c r="H52" s="331" t="s">
        <v>462</v>
      </c>
      <c r="I52" s="332"/>
      <c r="J52" s="220" t="str">
        <f>IF(MandatoryCheck="N","",SUM(F63,J46,J47,J48,J49))</f>
        <v/>
      </c>
      <c r="K52" s="238"/>
      <c r="L52" s="213"/>
      <c r="M52" s="38"/>
      <c r="N52" s="310"/>
      <c r="O52"/>
    </row>
    <row r="53" spans="1:15" ht="12" customHeight="1" x14ac:dyDescent="0.2">
      <c r="A53" s="310"/>
      <c r="B53" s="47"/>
      <c r="C53" s="180"/>
      <c r="D53" s="180"/>
      <c r="E53" s="180"/>
      <c r="F53" s="180"/>
      <c r="G53" s="180"/>
      <c r="H53" s="226" t="str">
        <f>IF($F$62="*SHIFT RATE","Does not include pilotage as shift hours based.","Assumes two-way visit with no variation")</f>
        <v>Assumes two-way visit with no variation</v>
      </c>
      <c r="I53" s="213"/>
      <c r="J53" s="213"/>
      <c r="K53" s="213"/>
      <c r="L53" s="213"/>
      <c r="M53" s="38"/>
      <c r="N53" s="310"/>
      <c r="O53"/>
    </row>
    <row r="54" spans="1:15" ht="12" customHeight="1" x14ac:dyDescent="0.2">
      <c r="A54" s="310"/>
      <c r="B54" s="47"/>
      <c r="C54" s="180"/>
      <c r="D54" s="330" t="str">
        <f>"PNPF Levy ("&amp;TEXT(Prices!E44,"#%")&amp;")"</f>
        <v>PNPF Levy (5%)</v>
      </c>
      <c r="E54" s="330"/>
      <c r="F54" s="183" t="str">
        <f>IF(MandatoryCheck="N","",(F48+F52)*pnpfRate)</f>
        <v/>
      </c>
      <c r="G54" s="180"/>
      <c r="H54" s="214"/>
      <c r="I54" s="214"/>
      <c r="J54" s="214"/>
      <c r="K54" s="214"/>
      <c r="L54" s="214"/>
      <c r="M54" s="41"/>
      <c r="N54" s="310"/>
      <c r="O54"/>
    </row>
    <row r="55" spans="1:15" ht="12" customHeight="1" x14ac:dyDescent="0.2">
      <c r="A55" s="310"/>
      <c r="B55" s="47"/>
      <c r="C55" s="33"/>
      <c r="D55" s="36"/>
      <c r="E55" s="100"/>
      <c r="F55" s="100"/>
      <c r="G55" s="100"/>
      <c r="H55" s="224"/>
      <c r="I55" s="224"/>
      <c r="J55" s="224"/>
      <c r="K55" s="224"/>
      <c r="L55" s="224"/>
      <c r="M55" s="41"/>
      <c r="N55" s="310"/>
      <c r="O55"/>
    </row>
    <row r="56" spans="1:15" ht="12" customHeight="1" x14ac:dyDescent="0.2">
      <c r="A56" s="310"/>
      <c r="B56" s="47"/>
      <c r="C56" s="315" t="s">
        <v>7</v>
      </c>
      <c r="D56" s="316" t="str">
        <f>IF(MandatoryCheck="N","",IF(Reference!H24="Gravesend",IF(Reference!H28="Y","*Gravesend","Gravesend"),Reference!H24))</f>
        <v/>
      </c>
      <c r="E56" s="316"/>
      <c r="F56" s="179" t="str">
        <f>IF(MandatoryCheck="N","",Reference!H25)</f>
        <v/>
      </c>
      <c r="G56" s="180"/>
      <c r="H56" s="224"/>
      <c r="I56" s="224"/>
      <c r="J56" s="224"/>
      <c r="K56" s="224"/>
      <c r="L56" s="224"/>
      <c r="M56" s="41"/>
      <c r="N56" s="310"/>
      <c r="O56"/>
    </row>
    <row r="57" spans="1:15" ht="12" customHeight="1" x14ac:dyDescent="0.2">
      <c r="A57" s="310"/>
      <c r="B57" s="47"/>
      <c r="C57" s="315"/>
      <c r="D57" s="317" t="str">
        <f>IF(MandatoryCheck="N","",IF(Reference!H26="Gravesend",IF(Reference!H28="Y","*Gravesend","Gravesend"),Reference!H26))</f>
        <v/>
      </c>
      <c r="E57" s="317"/>
      <c r="F57" s="181" t="str">
        <f>IF(MandatoryCheck="N","",Reference!H27)</f>
        <v/>
      </c>
      <c r="G57" s="180"/>
      <c r="H57" s="224"/>
      <c r="I57" s="224"/>
      <c r="J57" s="224"/>
      <c r="K57" s="224"/>
      <c r="L57" s="224"/>
      <c r="M57" s="41"/>
      <c r="N57" s="310"/>
      <c r="O57"/>
    </row>
    <row r="58" spans="1:15" ht="12" customHeight="1" x14ac:dyDescent="0.2">
      <c r="A58" s="310"/>
      <c r="B58" s="47"/>
      <c r="C58" s="315"/>
      <c r="D58" s="333" t="s">
        <v>366</v>
      </c>
      <c r="E58" s="333"/>
      <c r="F58" s="236" t="str">
        <f>IF(MandatoryCheck="N","",IF((IFERROR(F56/1,0)+IFERROR(F57/1,0))=0,0,IF(OR(fVesselType=6,fVesselType=7),BLFuelSurcharge,(BLFuelSurcharge*Reference!H29)*F44)))</f>
        <v/>
      </c>
      <c r="G58" s="180"/>
      <c r="H58" s="224"/>
      <c r="I58" s="224"/>
      <c r="J58" s="224"/>
      <c r="K58" s="224"/>
      <c r="L58" s="224"/>
      <c r="M58" s="41"/>
      <c r="N58" s="310"/>
      <c r="O58"/>
    </row>
    <row r="59" spans="1:15" ht="12" customHeight="1" x14ac:dyDescent="0.2">
      <c r="A59" s="310"/>
      <c r="B59" s="47"/>
      <c r="C59" s="33"/>
      <c r="D59" s="318" t="s">
        <v>345</v>
      </c>
      <c r="E59" s="318"/>
      <c r="F59" s="183" t="str">
        <f>IF(MandatoryCheck="N","",SUM(F56:F58))</f>
        <v/>
      </c>
      <c r="G59" s="100"/>
      <c r="H59" s="224"/>
      <c r="I59" s="224"/>
      <c r="J59" s="224"/>
      <c r="K59" s="224"/>
      <c r="L59" s="224"/>
      <c r="M59" s="41"/>
      <c r="N59" s="310"/>
      <c r="O59"/>
    </row>
    <row r="60" spans="1:15" ht="12" customHeight="1" x14ac:dyDescent="0.2">
      <c r="A60" s="310"/>
      <c r="B60" s="47"/>
      <c r="C60" s="178"/>
      <c r="D60" s="248" t="str">
        <f>IF(MandatoryCheck="N","",IF(Reference!H28="Y","*may not be charged if a Through Pilot is available.",""))</f>
        <v/>
      </c>
      <c r="E60" s="100"/>
      <c r="F60" s="100"/>
      <c r="G60" s="100"/>
      <c r="H60" s="224"/>
      <c r="I60" s="224"/>
      <c r="J60" s="224"/>
      <c r="K60" s="224"/>
      <c r="L60" s="224"/>
      <c r="M60" s="41"/>
      <c r="N60" s="310"/>
      <c r="O60"/>
    </row>
    <row r="61" spans="1:15" ht="12" customHeight="1" x14ac:dyDescent="0.2">
      <c r="A61" s="310"/>
      <c r="B61" s="47"/>
      <c r="C61" s="178"/>
      <c r="D61" s="100"/>
      <c r="E61" s="100"/>
      <c r="F61" s="100"/>
      <c r="G61" s="100"/>
      <c r="H61" s="224"/>
      <c r="I61" s="224"/>
      <c r="J61" s="224"/>
      <c r="K61" s="224"/>
      <c r="L61" s="224"/>
      <c r="M61" s="41"/>
      <c r="N61" s="310"/>
      <c r="O61"/>
    </row>
    <row r="62" spans="1:15" ht="12" customHeight="1" x14ac:dyDescent="0.2">
      <c r="A62" s="310"/>
      <c r="B62" s="47"/>
      <c r="C62" s="100"/>
      <c r="D62" s="319" t="s">
        <v>372</v>
      </c>
      <c r="E62" s="319"/>
      <c r="F62" s="207" t="str">
        <f>IF(MandatoryCheck="N","",IF(OR(SeaRateCode="Shift",RiverRateCode="Shift"), "*SHIFT RATE",SUM(F48,F52,F54,F59)))</f>
        <v/>
      </c>
      <c r="G62" s="100"/>
      <c r="H62" s="224"/>
      <c r="I62" s="224"/>
      <c r="J62" s="224"/>
      <c r="K62" s="224"/>
      <c r="L62" s="224"/>
      <c r="M62" s="41"/>
      <c r="N62" s="310"/>
      <c r="O62"/>
    </row>
    <row r="63" spans="1:15" ht="12" customHeight="1" x14ac:dyDescent="0.2">
      <c r="A63" s="310"/>
      <c r="B63" s="47"/>
      <c r="C63" s="100"/>
      <c r="D63" s="314" t="s">
        <v>461</v>
      </c>
      <c r="E63" s="314"/>
      <c r="F63" s="207" t="str">
        <f>IF(MandatoryCheck="N","",IF(F62="*SHIFT RATE",F62,F62*2))</f>
        <v/>
      </c>
      <c r="G63" s="100"/>
      <c r="H63" s="224"/>
      <c r="I63" s="224"/>
      <c r="J63" s="224"/>
      <c r="K63" s="224"/>
      <c r="L63" s="224"/>
      <c r="M63" s="41"/>
      <c r="N63" s="310"/>
      <c r="O63"/>
    </row>
    <row r="64" spans="1:15" ht="12" customHeight="1" x14ac:dyDescent="0.2">
      <c r="A64" s="310"/>
      <c r="B64" s="47"/>
      <c r="C64" s="100"/>
      <c r="D64" s="226" t="str">
        <f>IF($F$62="*SHIFT RATE","*Hourly rate (See Charges Tariff).","*Assumes pilotage charges are the same for return trip")</f>
        <v>*Assumes pilotage charges are the same for return trip</v>
      </c>
      <c r="E64" s="100"/>
      <c r="F64" s="100"/>
      <c r="G64" s="100"/>
      <c r="H64" s="224"/>
      <c r="I64" s="224"/>
      <c r="J64" s="224"/>
      <c r="K64" s="224"/>
      <c r="L64" s="224"/>
      <c r="M64" s="41"/>
      <c r="N64" s="310"/>
      <c r="O64"/>
    </row>
    <row r="65" spans="1:14" ht="6.75" customHeight="1" thickBot="1" x14ac:dyDescent="0.25">
      <c r="A65" s="310"/>
      <c r="B65" s="48"/>
      <c r="C65" s="43"/>
      <c r="D65" s="37"/>
      <c r="E65" s="37"/>
      <c r="F65" s="37"/>
      <c r="G65" s="37"/>
      <c r="H65" s="37"/>
      <c r="I65" s="105"/>
      <c r="J65" s="105"/>
      <c r="K65" s="105"/>
      <c r="L65" s="40"/>
      <c r="M65" s="39"/>
      <c r="N65" s="310"/>
    </row>
    <row r="66" spans="1:14" ht="7.5" customHeight="1" x14ac:dyDescent="0.2">
      <c r="A66" s="310"/>
      <c r="B66" s="310"/>
      <c r="C66" s="310"/>
      <c r="D66" s="310"/>
      <c r="E66" s="310"/>
      <c r="F66" s="310"/>
      <c r="G66" s="310"/>
      <c r="H66" s="310"/>
      <c r="I66" s="310"/>
      <c r="J66" s="310"/>
      <c r="K66" s="310"/>
      <c r="L66" s="310"/>
      <c r="M66" s="310"/>
      <c r="N66" s="310"/>
    </row>
    <row r="68" spans="1:14" hidden="1" x14ac:dyDescent="0.2">
      <c r="C68" s="31"/>
    </row>
  </sheetData>
  <sheetProtection algorithmName="SHA-512" hashValue="NeE/g/W3PnhNv0QtN1JdA/jwRkE0AJkDmIhze8R5S/vY9/ViM6PNqeN70o/F049R0J+aetP8uRmUf6ywBN076A==" saltValue="5BHrI9QjJ7EpwKRej0dw2g==" spinCount="100000" sheet="1" selectLockedCells="1"/>
  <protectedRanges>
    <protectedRange sqref="C9:C15 D12:D14 C7 D8:D9 H8:I13 B6:H6 G9:G15 B7:B15 E7:F15 G7 D16 H14:J15 E16:G17 C18:G19 K14:K17 D31:E32 B18:B30 C32 K21 J23 J25 B16:C17 J7:K13 G20:G30 C20:E25 F20:F27 F30:F32" name="Range1"/>
    <protectedRange sqref="C8" name="Range1_1"/>
  </protectedRanges>
  <mergeCells count="23">
    <mergeCell ref="H49:I49"/>
    <mergeCell ref="D44:E44"/>
    <mergeCell ref="D52:E52"/>
    <mergeCell ref="D54:E54"/>
    <mergeCell ref="D59:E59"/>
    <mergeCell ref="H52:I52"/>
    <mergeCell ref="H48:I48"/>
    <mergeCell ref="D56:E56"/>
    <mergeCell ref="D57:E57"/>
    <mergeCell ref="D58:E58"/>
    <mergeCell ref="B2:M2"/>
    <mergeCell ref="B3:M3"/>
    <mergeCell ref="E7:H7"/>
    <mergeCell ref="H46:I46"/>
    <mergeCell ref="H47:I47"/>
    <mergeCell ref="D63:E63"/>
    <mergeCell ref="C56:C58"/>
    <mergeCell ref="D46:E46"/>
    <mergeCell ref="D47:E47"/>
    <mergeCell ref="D48:E48"/>
    <mergeCell ref="D50:E50"/>
    <mergeCell ref="D51:E51"/>
    <mergeCell ref="D62:E62"/>
  </mergeCells>
  <conditionalFormatting sqref="F62">
    <cfRule type="cellIs" dxfId="32" priority="17" operator="equal">
      <formula>"*SHIFT RATE"</formula>
    </cfRule>
  </conditionalFormatting>
  <conditionalFormatting sqref="H18:I26">
    <cfRule type="expression" dxfId="31" priority="16">
      <formula>fCargoType=6</formula>
    </cfRule>
  </conditionalFormatting>
  <conditionalFormatting sqref="J18 J20 J22 J24 J26">
    <cfRule type="expression" dxfId="30" priority="15">
      <formula>fCargoType=6</formula>
    </cfRule>
  </conditionalFormatting>
  <conditionalFormatting sqref="H16:J16">
    <cfRule type="expression" dxfId="29" priority="14">
      <formula>fCargoType=6</formula>
    </cfRule>
  </conditionalFormatting>
  <conditionalFormatting sqref="H14">
    <cfRule type="expression" dxfId="28" priority="13">
      <formula>fCargoType=6</formula>
    </cfRule>
  </conditionalFormatting>
  <conditionalFormatting sqref="H12 J12">
    <cfRule type="expression" dxfId="27" priority="6">
      <formula>AND(fCargoType&lt;&gt;1,fCargoType&lt;&gt;6)</formula>
    </cfRule>
  </conditionalFormatting>
  <conditionalFormatting sqref="I12">
    <cfRule type="expression" dxfId="26" priority="5">
      <formula>AND(fCargoType&lt;&gt;1,fCargoType&lt;&gt;6)</formula>
    </cfRule>
  </conditionalFormatting>
  <conditionalFormatting sqref="F63">
    <cfRule type="cellIs" dxfId="25" priority="4" operator="equal">
      <formula>"*SHIFT RATE"</formula>
    </cfRule>
  </conditionalFormatting>
  <conditionalFormatting sqref="C24:E24">
    <cfRule type="expression" dxfId="24" priority="2">
      <formula>fTilbury</formula>
    </cfRule>
  </conditionalFormatting>
  <conditionalFormatting sqref="D24">
    <cfRule type="expression" dxfId="23" priority="1">
      <formula>fTilbury</formula>
    </cfRule>
  </conditionalFormatting>
  <dataValidations count="6">
    <dataValidation type="whole" allowBlank="1" showInputMessage="1" showErrorMessage="1" error="Exceeds limit" sqref="J18 J20 J22 J24 J26" xr:uid="{6391777B-B2FD-4D42-924E-D87F1CD1B500}">
      <formula1>0</formula1>
      <formula2>20000</formula2>
    </dataValidation>
    <dataValidation type="decimal" allowBlank="1" showInputMessage="1" showErrorMessage="1" error="Invalid input" sqref="D18" xr:uid="{B8A3402F-5A00-4A16-A7C9-5E4C453DA634}">
      <formula1>0</formula1>
      <formula2>500</formula2>
    </dataValidation>
    <dataValidation type="whole" allowBlank="1" showInputMessage="1" showErrorMessage="1" error="Invalid input" sqref="D22" xr:uid="{E5DDF0E8-C487-4A33-89A3-BB2FEECF79BE}">
      <formula1>0</formula1>
      <formula2>500000</formula2>
    </dataValidation>
    <dataValidation type="decimal" allowBlank="1" showInputMessage="1" showErrorMessage="1" error="Invalid input" sqref="D24" xr:uid="{98F77071-1192-41FB-BED8-7DCF59CBAA24}">
      <formula1>0</formula1>
      <formula2>100</formula2>
    </dataValidation>
    <dataValidation type="decimal" allowBlank="1" showInputMessage="1" showErrorMessage="1" error="Invalid input" sqref="I12" xr:uid="{1825CD5B-3253-4F0F-9B30-CBD7398EA33F}">
      <formula1>0</formula1>
      <formula2>1000000</formula2>
    </dataValidation>
    <dataValidation type="decimal" allowBlank="1" showInputMessage="1" showErrorMessage="1" error="Invalid input" sqref="D20" xr:uid="{6050FF64-814E-449E-8DA2-5462C8ED0820}">
      <formula1>0</formula1>
      <formula2>20</formula2>
    </dataValidation>
  </dataValidations>
  <printOptions horizontalCentered="1"/>
  <pageMargins left="0.74803149606299213" right="0.74803149606299213" top="0.98425196850393704" bottom="0.98425196850393704" header="0.51181102362204722" footer="0.51181102362204722"/>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51" r:id="rId4" name="Drop Down 31">
              <controlPr locked="0" defaultSize="0" autoLine="0" autoPict="0">
                <anchor moveWithCells="1">
                  <from>
                    <xdr:col>3</xdr:col>
                    <xdr:colOff>0</xdr:colOff>
                    <xdr:row>11</xdr:row>
                    <xdr:rowOff>0</xdr:rowOff>
                  </from>
                  <to>
                    <xdr:col>4</xdr:col>
                    <xdr:colOff>781050</xdr:colOff>
                    <xdr:row>12</xdr:row>
                    <xdr:rowOff>9525</xdr:rowOff>
                  </to>
                </anchor>
              </controlPr>
            </control>
          </mc:Choice>
        </mc:AlternateContent>
        <mc:AlternateContent xmlns:mc="http://schemas.openxmlformats.org/markup-compatibility/2006">
          <mc:Choice Requires="x14">
            <control shapeId="5163" r:id="rId5" name="Drop Down 43">
              <controlPr locked="0" defaultSize="0" autoLine="0" autoPict="0">
                <anchor moveWithCells="1">
                  <from>
                    <xdr:col>3</xdr:col>
                    <xdr:colOff>0</xdr:colOff>
                    <xdr:row>14</xdr:row>
                    <xdr:rowOff>0</xdr:rowOff>
                  </from>
                  <to>
                    <xdr:col>4</xdr:col>
                    <xdr:colOff>781050</xdr:colOff>
                    <xdr:row>15</xdr:row>
                    <xdr:rowOff>171450</xdr:rowOff>
                  </to>
                </anchor>
              </controlPr>
            </control>
          </mc:Choice>
        </mc:AlternateContent>
        <mc:AlternateContent xmlns:mc="http://schemas.openxmlformats.org/markup-compatibility/2006">
          <mc:Choice Requires="x14">
            <control shapeId="5166" r:id="rId6" name="Drop Down 46">
              <controlPr locked="0" defaultSize="0" autoLine="0" autoPict="0">
                <anchor moveWithCells="1">
                  <from>
                    <xdr:col>8</xdr:col>
                    <xdr:colOff>0</xdr:colOff>
                    <xdr:row>8</xdr:row>
                    <xdr:rowOff>133350</xdr:rowOff>
                  </from>
                  <to>
                    <xdr:col>10</xdr:col>
                    <xdr:colOff>323850</xdr:colOff>
                    <xdr:row>9</xdr:row>
                    <xdr:rowOff>171450</xdr:rowOff>
                  </to>
                </anchor>
              </controlPr>
            </control>
          </mc:Choice>
        </mc:AlternateContent>
        <mc:AlternateContent xmlns:mc="http://schemas.openxmlformats.org/markup-compatibility/2006">
          <mc:Choice Requires="x14">
            <control shapeId="5180" r:id="rId7" name="Drop Down 60">
              <controlPr locked="0" defaultSize="0" autoLine="0" autoPict="0">
                <anchor moveWithCells="1">
                  <from>
                    <xdr:col>3</xdr:col>
                    <xdr:colOff>0</xdr:colOff>
                    <xdr:row>27</xdr:row>
                    <xdr:rowOff>0</xdr:rowOff>
                  </from>
                  <to>
                    <xdr:col>4</xdr:col>
                    <xdr:colOff>781050</xdr:colOff>
                    <xdr:row>28</xdr:row>
                    <xdr:rowOff>9525</xdr:rowOff>
                  </to>
                </anchor>
              </controlPr>
            </control>
          </mc:Choice>
        </mc:AlternateContent>
        <mc:AlternateContent xmlns:mc="http://schemas.openxmlformats.org/markup-compatibility/2006">
          <mc:Choice Requires="x14">
            <control shapeId="5181" r:id="rId8" name="Check Box 61">
              <controlPr locked="0" defaultSize="0" autoFill="0" autoLine="0" autoPict="0">
                <anchor moveWithCells="1">
                  <from>
                    <xdr:col>5</xdr:col>
                    <xdr:colOff>152400</xdr:colOff>
                    <xdr:row>9</xdr:row>
                    <xdr:rowOff>85725</xdr:rowOff>
                  </from>
                  <to>
                    <xdr:col>6</xdr:col>
                    <xdr:colOff>638175</xdr:colOff>
                    <xdr:row>11</xdr:row>
                    <xdr:rowOff>76200</xdr:rowOff>
                  </to>
                </anchor>
              </controlPr>
            </control>
          </mc:Choice>
        </mc:AlternateContent>
        <mc:AlternateContent xmlns:mc="http://schemas.openxmlformats.org/markup-compatibility/2006">
          <mc:Choice Requires="x14">
            <control shapeId="5182" r:id="rId9" name="Drop Down 62">
              <controlPr locked="0" defaultSize="0" autoLine="0" autoPict="0">
                <anchor moveWithCells="1">
                  <from>
                    <xdr:col>3</xdr:col>
                    <xdr:colOff>0</xdr:colOff>
                    <xdr:row>8</xdr:row>
                    <xdr:rowOff>142875</xdr:rowOff>
                  </from>
                  <to>
                    <xdr:col>4</xdr:col>
                    <xdr:colOff>781050</xdr:colOff>
                    <xdr:row>9</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89E24-B999-4443-A9DC-2D44A1ED0895}">
  <sheetPr codeName="Sheet3">
    <tabColor theme="9" tint="0.59999389629810485"/>
    <pageSetUpPr fitToPage="1"/>
  </sheetPr>
  <dimension ref="A1:U156"/>
  <sheetViews>
    <sheetView showGridLines="0" topLeftCell="C1" zoomScale="90" zoomScaleNormal="90" workbookViewId="0">
      <pane ySplit="1" topLeftCell="A2" activePane="bottomLeft" state="frozen"/>
      <selection activeCell="M58" sqref="M58"/>
      <selection pane="bottomLeft" activeCell="J2" sqref="J2"/>
    </sheetView>
  </sheetViews>
  <sheetFormatPr defaultRowHeight="12.75" x14ac:dyDescent="0.2"/>
  <cols>
    <col min="1" max="1" width="2.85546875" style="3" bestFit="1" customWidth="1"/>
    <col min="2" max="2" width="17.140625" style="84" bestFit="1" customWidth="1"/>
    <col min="3" max="3" width="9.140625" style="85" bestFit="1" customWidth="1"/>
    <col min="4" max="4" width="2" style="3" customWidth="1"/>
    <col min="5" max="5" width="13.140625" style="3" bestFit="1" customWidth="1"/>
    <col min="6" max="6" width="7" style="3" bestFit="1" customWidth="1"/>
    <col min="7" max="7" width="2.28515625" style="3" customWidth="1"/>
    <col min="8" max="8" width="8" style="85" bestFit="1" customWidth="1"/>
    <col min="9" max="9" width="11" style="97" bestFit="1" customWidth="1"/>
    <col min="10" max="10" width="12.140625" style="85" bestFit="1" customWidth="1"/>
    <col min="11" max="11" width="9.42578125" style="85" bestFit="1" customWidth="1"/>
    <col min="12" max="12" width="11.42578125" style="85" bestFit="1" customWidth="1"/>
    <col min="13" max="13" width="12.7109375" style="85" bestFit="1" customWidth="1"/>
    <col min="14" max="14" width="10.85546875" style="85" bestFit="1" customWidth="1"/>
    <col min="15" max="15" width="11" style="85" bestFit="1" customWidth="1"/>
    <col min="16" max="16" width="9.42578125" style="85" bestFit="1" customWidth="1"/>
    <col min="17" max="17" width="12.7109375" style="89" bestFit="1" customWidth="1"/>
    <col min="18" max="18" width="10" style="98" bestFit="1" customWidth="1"/>
    <col min="19" max="19" width="17.5703125" style="3" bestFit="1" customWidth="1"/>
    <col min="20" max="20" width="17" style="99" bestFit="1" customWidth="1"/>
    <col min="21" max="21" width="60.140625" style="84" bestFit="1" customWidth="1"/>
    <col min="22" max="16384" width="9.140625" style="3"/>
  </cols>
  <sheetData>
    <row r="1" spans="1:21" x14ac:dyDescent="0.2">
      <c r="B1" s="51" t="s">
        <v>88</v>
      </c>
      <c r="C1" s="52" t="s">
        <v>89</v>
      </c>
      <c r="D1" s="53"/>
      <c r="H1" s="54" t="s">
        <v>90</v>
      </c>
      <c r="I1" s="55" t="s">
        <v>91</v>
      </c>
      <c r="J1" s="56" t="s">
        <v>92</v>
      </c>
      <c r="K1" s="56" t="s">
        <v>93</v>
      </c>
      <c r="L1" s="56" t="s">
        <v>94</v>
      </c>
      <c r="M1" s="56" t="s">
        <v>95</v>
      </c>
      <c r="N1" s="56" t="s">
        <v>96</v>
      </c>
      <c r="O1" s="56" t="s">
        <v>97</v>
      </c>
      <c r="P1" s="56" t="s">
        <v>98</v>
      </c>
      <c r="Q1" s="56" t="s">
        <v>99</v>
      </c>
      <c r="R1" s="55" t="s">
        <v>100</v>
      </c>
      <c r="S1" s="56" t="s">
        <v>101</v>
      </c>
      <c r="T1" s="56" t="s">
        <v>102</v>
      </c>
      <c r="U1" s="57" t="s">
        <v>103</v>
      </c>
    </row>
    <row r="2" spans="1:21" x14ac:dyDescent="0.2">
      <c r="A2" s="3" t="str">
        <f>LocationIndex2[[#This Row],[Sector]]</f>
        <v>R</v>
      </c>
      <c r="B2" s="58" t="s">
        <v>8</v>
      </c>
      <c r="C2" s="59" t="s">
        <v>104</v>
      </c>
      <c r="D2" s="53"/>
      <c r="E2" s="60" t="s">
        <v>105</v>
      </c>
      <c r="F2" s="61"/>
      <c r="H2" s="62" t="str">
        <f>FindRates5[[#This Row],[FromCode]]&amp;FindRates5[[#This Row],[Tocode]]</f>
        <v>AA</v>
      </c>
      <c r="I2" s="63" t="s">
        <v>106</v>
      </c>
      <c r="J2" s="63" t="s">
        <v>107</v>
      </c>
      <c r="K2" s="64">
        <v>0</v>
      </c>
      <c r="L2" s="64">
        <v>0</v>
      </c>
      <c r="M2" s="64">
        <v>0</v>
      </c>
      <c r="N2" s="64">
        <v>0</v>
      </c>
      <c r="O2" s="64">
        <v>0</v>
      </c>
      <c r="P2" s="64">
        <v>0</v>
      </c>
      <c r="Q2" s="63" t="s">
        <v>108</v>
      </c>
      <c r="R2" s="63" t="s">
        <v>108</v>
      </c>
      <c r="S2" s="64" t="str">
        <f>VLOOKUP(FindRates5[[#This Row],[FromCode]],$A$2:$B$14,2,FALSE)</f>
        <v>Sector A</v>
      </c>
      <c r="T2" s="65" t="str">
        <f>VLOOKUP(FindRates5[[#This Row],[Tocode]],$A$2:$B$14,2,FALSE)</f>
        <v>Sector A</v>
      </c>
      <c r="U2" s="66"/>
    </row>
    <row r="3" spans="1:21" x14ac:dyDescent="0.2">
      <c r="A3" s="3" t="str">
        <f>LocationIndex2[[#This Row],[Sector]]</f>
        <v>H</v>
      </c>
      <c r="B3" s="58" t="s">
        <v>9</v>
      </c>
      <c r="C3" s="59" t="s">
        <v>109</v>
      </c>
      <c r="D3" s="53"/>
      <c r="E3" s="60" t="s">
        <v>110</v>
      </c>
      <c r="F3" s="61"/>
      <c r="H3" s="62" t="str">
        <f>FindRates5[[#This Row],[FromCode]]&amp;FindRates5[[#This Row],[Tocode]]</f>
        <v>AB</v>
      </c>
      <c r="I3" s="63" t="s">
        <v>106</v>
      </c>
      <c r="J3" s="63" t="s">
        <v>107</v>
      </c>
      <c r="K3" s="64">
        <v>0</v>
      </c>
      <c r="L3" s="64">
        <v>0</v>
      </c>
      <c r="M3" s="64">
        <v>0</v>
      </c>
      <c r="N3" s="64">
        <v>0</v>
      </c>
      <c r="O3" s="63">
        <v>0</v>
      </c>
      <c r="P3" s="63">
        <v>0</v>
      </c>
      <c r="Q3" s="63" t="s">
        <v>108</v>
      </c>
      <c r="R3" s="63" t="s">
        <v>111</v>
      </c>
      <c r="S3" s="64" t="str">
        <f>VLOOKUP(FindRates5[[#This Row],[FromCode]],$A$2:$B$14,2,FALSE)</f>
        <v>Sector A</v>
      </c>
      <c r="T3" s="65" t="str">
        <f>VLOOKUP(FindRates5[[#This Row],[Tocode]],$A$2:$B$14,2,FALSE)</f>
        <v>Sector B</v>
      </c>
      <c r="U3" s="66"/>
    </row>
    <row r="4" spans="1:21" x14ac:dyDescent="0.2">
      <c r="A4" s="3" t="str">
        <f>LocationIndex2[[#This Row],[Sector]]</f>
        <v>W</v>
      </c>
      <c r="B4" s="58" t="s">
        <v>112</v>
      </c>
      <c r="C4" s="59" t="s">
        <v>113</v>
      </c>
      <c r="D4" s="53"/>
      <c r="E4" s="60" t="s">
        <v>114</v>
      </c>
      <c r="F4" s="61"/>
      <c r="H4" s="62" t="str">
        <f>FindRates5[[#This Row],[FromCode]]&amp;FindRates5[[#This Row],[Tocode]]</f>
        <v>AC</v>
      </c>
      <c r="I4" s="63" t="s">
        <v>106</v>
      </c>
      <c r="J4" s="63" t="s">
        <v>107</v>
      </c>
      <c r="K4" s="64">
        <v>0</v>
      </c>
      <c r="L4" s="64">
        <v>0</v>
      </c>
      <c r="M4" s="64">
        <v>0</v>
      </c>
      <c r="N4" s="64">
        <v>0</v>
      </c>
      <c r="O4" s="63">
        <v>0</v>
      </c>
      <c r="P4" s="63">
        <v>0</v>
      </c>
      <c r="Q4" s="63" t="s">
        <v>108</v>
      </c>
      <c r="R4" s="63" t="s">
        <v>115</v>
      </c>
      <c r="S4" s="64" t="str">
        <f>VLOOKUP(FindRates5[[#This Row],[FromCode]],$A$2:$B$14,2,FALSE)</f>
        <v>Sector A</v>
      </c>
      <c r="T4" s="65" t="str">
        <f>VLOOKUP(FindRates5[[#This Row],[Tocode]],$A$2:$B$14,2,FALSE)</f>
        <v>Sector C</v>
      </c>
      <c r="U4" s="66"/>
    </row>
    <row r="5" spans="1:21" x14ac:dyDescent="0.2">
      <c r="A5" s="3" t="str">
        <f>LocationIndex2[[#This Row],[Sector]]</f>
        <v>M</v>
      </c>
      <c r="B5" s="67" t="s">
        <v>11</v>
      </c>
      <c r="C5" s="68" t="s">
        <v>116</v>
      </c>
      <c r="D5" s="53"/>
      <c r="E5" s="69" t="s">
        <v>42</v>
      </c>
      <c r="F5" s="70"/>
      <c r="H5" s="62" t="str">
        <f>FindRates5[[#This Row],[FromCode]]&amp;FindRates5[[#This Row],[Tocode]]</f>
        <v>AD</v>
      </c>
      <c r="I5" s="63" t="s">
        <v>106</v>
      </c>
      <c r="J5" s="63" t="s">
        <v>107</v>
      </c>
      <c r="K5" s="64">
        <v>0</v>
      </c>
      <c r="L5" s="64">
        <v>0</v>
      </c>
      <c r="M5" s="64">
        <v>0</v>
      </c>
      <c r="N5" s="64">
        <v>0</v>
      </c>
      <c r="O5" s="63">
        <v>0</v>
      </c>
      <c r="P5" s="63">
        <v>0</v>
      </c>
      <c r="Q5" s="63" t="s">
        <v>108</v>
      </c>
      <c r="R5" s="63" t="s">
        <v>117</v>
      </c>
      <c r="S5" s="64" t="str">
        <f>VLOOKUP(FindRates5[[#This Row],[FromCode]],$A$2:$B$14,2,FALSE)</f>
        <v>Sector A</v>
      </c>
      <c r="T5" s="65" t="str">
        <f>VLOOKUP(FindRates5[[#This Row],[Tocode]],$A$2:$B$14,2,FALSE)</f>
        <v>Sector D</v>
      </c>
      <c r="U5" s="66"/>
    </row>
    <row r="6" spans="1:21" x14ac:dyDescent="0.2">
      <c r="A6" s="3" t="str">
        <f>LocationIndex2[[#This Row],[Sector]]</f>
        <v>O</v>
      </c>
      <c r="B6" s="58" t="s">
        <v>464</v>
      </c>
      <c r="C6" s="59" t="s">
        <v>119</v>
      </c>
      <c r="D6" s="53"/>
      <c r="E6" s="60" t="s">
        <v>120</v>
      </c>
      <c r="F6" s="71"/>
      <c r="H6" s="62" t="str">
        <f>FindRates5[[#This Row],[FromCode]]&amp;FindRates5[[#This Row],[Tocode]]</f>
        <v>AG</v>
      </c>
      <c r="I6" s="63" t="s">
        <v>106</v>
      </c>
      <c r="J6" s="63" t="s">
        <v>58</v>
      </c>
      <c r="K6" s="63">
        <v>0</v>
      </c>
      <c r="L6" s="63">
        <v>0</v>
      </c>
      <c r="M6" s="63">
        <v>0</v>
      </c>
      <c r="N6" s="63">
        <v>0</v>
      </c>
      <c r="O6" s="63">
        <v>1</v>
      </c>
      <c r="P6" s="63">
        <v>0</v>
      </c>
      <c r="Q6" s="63" t="s">
        <v>108</v>
      </c>
      <c r="R6" s="63" t="s">
        <v>121</v>
      </c>
      <c r="S6" s="64" t="str">
        <f>VLOOKUP(FindRates5[[#This Row],[FromCode]],$A$2:$B$14,2,FALSE)</f>
        <v>Sector A</v>
      </c>
      <c r="T6" s="65" t="str">
        <f>VLOOKUP(FindRates5[[#This Row],[Tocode]],$A$2:$B$14,2,FALSE)</f>
        <v>Gravesend</v>
      </c>
      <c r="U6" s="66"/>
    </row>
    <row r="7" spans="1:21" x14ac:dyDescent="0.2">
      <c r="A7" s="3" t="str">
        <f>LocationIndex2[[#This Row],[Sector]]</f>
        <v>Z</v>
      </c>
      <c r="B7" s="72" t="s">
        <v>122</v>
      </c>
      <c r="C7" s="73" t="s">
        <v>123</v>
      </c>
      <c r="D7" s="53"/>
      <c r="E7" s="60" t="s">
        <v>74</v>
      </c>
      <c r="F7" s="2"/>
      <c r="H7" s="62" t="str">
        <f>FindRates5[[#This Row],[FromCode]]&amp;FindRates5[[#This Row],[Tocode]]</f>
        <v>AT</v>
      </c>
      <c r="I7" s="63" t="s">
        <v>106</v>
      </c>
      <c r="J7" s="63" t="s">
        <v>58</v>
      </c>
      <c r="K7" s="63">
        <v>0</v>
      </c>
      <c r="L7" s="63">
        <v>0</v>
      </c>
      <c r="M7" s="63">
        <v>0</v>
      </c>
      <c r="N7" s="63">
        <v>0</v>
      </c>
      <c r="O7" s="63">
        <v>0</v>
      </c>
      <c r="P7" s="63">
        <v>0</v>
      </c>
      <c r="Q7" s="74" t="s">
        <v>108</v>
      </c>
      <c r="R7" s="74" t="s">
        <v>124</v>
      </c>
      <c r="S7" s="75" t="str">
        <f>VLOOKUP(FindRates5[[#This Row],[FromCode]],$A$2:$B$14,2,FALSE)</f>
        <v>Sector A</v>
      </c>
      <c r="T7" s="76" t="str">
        <f>VLOOKUP(FindRates5[[#This Row],[Tocode]],$A$2:$B$14,2,FALSE)</f>
        <v>Tilbury2</v>
      </c>
      <c r="U7" s="77"/>
    </row>
    <row r="8" spans="1:21" x14ac:dyDescent="0.2">
      <c r="A8" s="3" t="str">
        <f>LocationIndex2[[#This Row],[Sector]]</f>
        <v>M</v>
      </c>
      <c r="B8" s="58" t="s">
        <v>125</v>
      </c>
      <c r="C8" s="59" t="s">
        <v>116</v>
      </c>
      <c r="D8" s="53"/>
      <c r="E8" s="78" t="s">
        <v>126</v>
      </c>
      <c r="F8" s="71"/>
      <c r="H8" s="62" t="str">
        <f>FindRates5[[#This Row],[FromCode]]&amp;FindRates5[[#This Row],[Tocode]]</f>
        <v>AH</v>
      </c>
      <c r="I8" s="63" t="s">
        <v>46</v>
      </c>
      <c r="J8" s="63" t="s">
        <v>106</v>
      </c>
      <c r="K8" s="63">
        <v>0</v>
      </c>
      <c r="L8" s="63">
        <v>0</v>
      </c>
      <c r="M8" s="63">
        <v>0</v>
      </c>
      <c r="N8" s="63">
        <v>1</v>
      </c>
      <c r="O8" s="79">
        <v>1</v>
      </c>
      <c r="P8" s="63">
        <v>0</v>
      </c>
      <c r="Q8" s="63" t="s">
        <v>108</v>
      </c>
      <c r="R8" s="63" t="s">
        <v>109</v>
      </c>
      <c r="S8" s="64" t="str">
        <f>VLOOKUP(FindRates5[[#This Row],[FromCode]],$A$2:$B$14,2,FALSE)</f>
        <v>Sector A</v>
      </c>
      <c r="T8" s="65" t="str">
        <f>VLOOKUP(FindRates5[[#This Row],[Tocode]],$A$2:$B$14,2,FALSE)</f>
        <v>Sunk</v>
      </c>
      <c r="U8" s="77" t="str">
        <f>IF(AND(FindRates5[[#This Row],[BLGSND]]&gt;0,$F$6="YES"),"B&amp;L Gravesend may not be charged if a Through Pilot is available.","")</f>
        <v/>
      </c>
    </row>
    <row r="9" spans="1:21" x14ac:dyDescent="0.2">
      <c r="A9" s="3" t="str">
        <f>LocationIndex2[[#This Row],[Sector]]</f>
        <v>G</v>
      </c>
      <c r="B9" s="58" t="s">
        <v>13</v>
      </c>
      <c r="C9" s="59" t="s">
        <v>121</v>
      </c>
      <c r="D9" s="53"/>
      <c r="E9" s="78" t="s">
        <v>127</v>
      </c>
      <c r="F9" s="71"/>
      <c r="H9" s="62" t="str">
        <f>FindRates5[[#This Row],[FromCode]]&amp;FindRates5[[#This Row],[Tocode]]</f>
        <v>AM</v>
      </c>
      <c r="I9" s="63" t="s">
        <v>53</v>
      </c>
      <c r="J9" s="63" t="s">
        <v>106</v>
      </c>
      <c r="K9" s="63">
        <v>0</v>
      </c>
      <c r="L9" s="63">
        <v>0</v>
      </c>
      <c r="M9" s="80">
        <v>1</v>
      </c>
      <c r="N9" s="63">
        <v>0</v>
      </c>
      <c r="O9" s="79">
        <v>1</v>
      </c>
      <c r="P9" s="63">
        <v>0</v>
      </c>
      <c r="Q9" s="63" t="s">
        <v>108</v>
      </c>
      <c r="R9" s="63" t="s">
        <v>116</v>
      </c>
      <c r="S9" s="64" t="str">
        <f>VLOOKUP(FindRates5[[#This Row],[FromCode]],$A$2:$B$14,2,FALSE)</f>
        <v>Sector A</v>
      </c>
      <c r="T9" s="65" t="str">
        <f>VLOOKUP(FindRates5[[#This Row],[Tocode]],$A$2:$B$14,2,FALSE)</f>
        <v>Medway</v>
      </c>
      <c r="U9" s="77" t="str">
        <f>IF(AND(FindRates5[[#This Row],[BLGSND]]&gt;0,$F$6="YES"),"B&amp;L Gravesend may not be charged if a Through Pilot is available.","")</f>
        <v/>
      </c>
    </row>
    <row r="10" spans="1:21" x14ac:dyDescent="0.2">
      <c r="A10" s="3" t="str">
        <f>LocationIndex2[[#This Row],[Sector]]</f>
        <v>T</v>
      </c>
      <c r="B10" s="81" t="s">
        <v>128</v>
      </c>
      <c r="C10" s="82" t="s">
        <v>124</v>
      </c>
      <c r="D10" s="53"/>
      <c r="E10" s="83" t="s">
        <v>129</v>
      </c>
      <c r="F10" s="71"/>
      <c r="H10" s="62" t="str">
        <f>FindRates5[[#This Row],[FromCode]]&amp;FindRates5[[#This Row],[Tocode]]</f>
        <v>AO</v>
      </c>
      <c r="I10" s="63" t="s">
        <v>57</v>
      </c>
      <c r="J10" s="63" t="s">
        <v>106</v>
      </c>
      <c r="K10" s="63">
        <v>0</v>
      </c>
      <c r="L10" s="63">
        <v>0</v>
      </c>
      <c r="M10" s="63">
        <v>0</v>
      </c>
      <c r="N10" s="63">
        <v>0</v>
      </c>
      <c r="O10" s="79">
        <v>1</v>
      </c>
      <c r="P10" s="63">
        <v>0</v>
      </c>
      <c r="Q10" s="63" t="s">
        <v>108</v>
      </c>
      <c r="R10" s="63" t="s">
        <v>119</v>
      </c>
      <c r="S10" s="64" t="str">
        <f>VLOOKUP(FindRates5[[#This Row],[FromCode]],$A$2:$B$14,2,FALSE)</f>
        <v>Sector A</v>
      </c>
      <c r="T10" s="65" t="str">
        <f>VLOOKUP(FindRates5[[#This Row],[Tocode]],$A$2:$B$14,2,FALSE)</f>
        <v>Oil Terminal</v>
      </c>
      <c r="U10" s="77" t="str">
        <f>IF(AND(FindRates5[[#This Row],[BLGSND]]&gt;0,$F$6="YES"),"B&amp;L Gravesend may not be charged if a Through Pilot is available.","")</f>
        <v/>
      </c>
    </row>
    <row r="11" spans="1:21" x14ac:dyDescent="0.2">
      <c r="A11" s="3" t="str">
        <f>LocationIndex2[[#This Row],[Sector]]</f>
        <v>A</v>
      </c>
      <c r="B11" s="58" t="s">
        <v>42</v>
      </c>
      <c r="C11" s="59" t="s">
        <v>108</v>
      </c>
      <c r="E11" s="83" t="s">
        <v>130</v>
      </c>
      <c r="F11" s="71"/>
      <c r="H11" s="62" t="str">
        <f>FindRates5[[#This Row],[FromCode]]&amp;FindRates5[[#This Row],[Tocode]]</f>
        <v>AZ</v>
      </c>
      <c r="I11" s="63" t="s">
        <v>57</v>
      </c>
      <c r="J11" s="63" t="s">
        <v>106</v>
      </c>
      <c r="K11" s="63">
        <v>0</v>
      </c>
      <c r="L11" s="63">
        <v>0</v>
      </c>
      <c r="M11" s="63">
        <v>0</v>
      </c>
      <c r="N11" s="63">
        <v>0</v>
      </c>
      <c r="O11" s="79">
        <v>1</v>
      </c>
      <c r="P11" s="63">
        <v>1</v>
      </c>
      <c r="Q11" s="63" t="s">
        <v>108</v>
      </c>
      <c r="R11" s="63" t="s">
        <v>123</v>
      </c>
      <c r="S11" s="75" t="str">
        <f>VLOOKUP(FindRates5[[#This Row],[FromCode]],$A$2:$B$14,2,FALSE)</f>
        <v>Sector A</v>
      </c>
      <c r="T11" s="76" t="str">
        <f>VLOOKUP(FindRates5[[#This Row],[Tocode]],$A$2:$B$14,2,FALSE)</f>
        <v>Chapmans Anchor</v>
      </c>
      <c r="U11" s="77" t="str">
        <f>IF(AND(FindRates5[[#This Row],[BLGSND]]&gt;0,$F$6="YES"),"B&amp;L Gravesend may not be charged if a Through Pilot is available.","")</f>
        <v/>
      </c>
    </row>
    <row r="12" spans="1:21" x14ac:dyDescent="0.2">
      <c r="A12" s="3" t="str">
        <f>LocationIndex2[[#This Row],[Sector]]</f>
        <v>B</v>
      </c>
      <c r="B12" s="58" t="s">
        <v>60</v>
      </c>
      <c r="C12" s="59" t="s">
        <v>111</v>
      </c>
      <c r="E12" s="78" t="s">
        <v>131</v>
      </c>
      <c r="F12" s="71"/>
      <c r="H12" s="62" t="str">
        <f>FindRates5[[#This Row],[FromCode]]&amp;FindRates5[[#This Row],[Tocode]]</f>
        <v>AR</v>
      </c>
      <c r="I12" s="63" t="s">
        <v>41</v>
      </c>
      <c r="J12" s="63" t="s">
        <v>106</v>
      </c>
      <c r="K12" s="63">
        <v>1</v>
      </c>
      <c r="L12" s="63">
        <v>0</v>
      </c>
      <c r="M12" s="63">
        <v>0</v>
      </c>
      <c r="N12" s="63">
        <v>0</v>
      </c>
      <c r="O12" s="79">
        <v>1</v>
      </c>
      <c r="P12" s="63">
        <v>0</v>
      </c>
      <c r="Q12" s="63" t="s">
        <v>108</v>
      </c>
      <c r="R12" s="63" t="s">
        <v>104</v>
      </c>
      <c r="S12" s="64" t="str">
        <f>VLOOKUP(FindRates5[[#This Row],[FromCode]],$A$2:$B$14,2,FALSE)</f>
        <v>Sector A</v>
      </c>
      <c r="T12" s="65" t="str">
        <f>VLOOKUP(FindRates5[[#This Row],[Tocode]],$A$2:$B$14,2,FALSE)</f>
        <v>NE Spit</v>
      </c>
      <c r="U12" s="77" t="str">
        <f>IF(AND(FindRates5[[#This Row],[BLGSND]]&gt;0,$F$6="YES"),"B&amp;L Gravesend may not be charged if a Through Pilot is available.","")</f>
        <v/>
      </c>
    </row>
    <row r="13" spans="1:21" x14ac:dyDescent="0.2">
      <c r="A13" s="3" t="str">
        <f>LocationIndex2[[#This Row],[Sector]]</f>
        <v>C</v>
      </c>
      <c r="B13" s="58" t="s">
        <v>62</v>
      </c>
      <c r="C13" s="59" t="s">
        <v>115</v>
      </c>
      <c r="E13" s="78" t="s">
        <v>132</v>
      </c>
      <c r="F13" s="71"/>
      <c r="H13" s="62" t="str">
        <f>FindRates5[[#This Row],[FromCode]]&amp;FindRates5[[#This Row],[Tocode]]</f>
        <v>AW</v>
      </c>
      <c r="I13" s="63" t="s">
        <v>51</v>
      </c>
      <c r="J13" s="63" t="s">
        <v>106</v>
      </c>
      <c r="K13" s="63">
        <v>0</v>
      </c>
      <c r="L13" s="63">
        <v>1</v>
      </c>
      <c r="M13" s="63">
        <v>0</v>
      </c>
      <c r="N13" s="63">
        <v>0</v>
      </c>
      <c r="O13" s="79">
        <v>1</v>
      </c>
      <c r="P13" s="63">
        <v>0</v>
      </c>
      <c r="Q13" s="63" t="s">
        <v>108</v>
      </c>
      <c r="R13" s="63" t="s">
        <v>113</v>
      </c>
      <c r="S13" s="64" t="str">
        <f>VLOOKUP(FindRates5[[#This Row],[FromCode]],$A$2:$B$14,2,FALSE)</f>
        <v>Sector A</v>
      </c>
      <c r="T13" s="65" t="str">
        <f>VLOOKUP(FindRates5[[#This Row],[Tocode]],$A$2:$B$14,2,FALSE)</f>
        <v>Warp</v>
      </c>
      <c r="U13" s="77" t="str">
        <f>IF(AND(FindRates5[[#This Row],[BLGSND]]&gt;0,$F$6="YES"),"B&amp;L Gravesend may not be charged if a Through Pilot is available.","")</f>
        <v/>
      </c>
    </row>
    <row r="14" spans="1:21" x14ac:dyDescent="0.2">
      <c r="A14" s="3" t="str">
        <f>LocationIndex2[[#This Row],[Sector]]</f>
        <v>D</v>
      </c>
      <c r="B14" s="58" t="s">
        <v>64</v>
      </c>
      <c r="C14" s="59" t="s">
        <v>117</v>
      </c>
      <c r="E14" s="78" t="s">
        <v>133</v>
      </c>
      <c r="F14" s="2"/>
      <c r="H14" s="62" t="str">
        <f>FindRates5[[#This Row],[FromCode]]&amp;FindRates5[[#This Row],[Tocode]]</f>
        <v>BA</v>
      </c>
      <c r="I14" s="63" t="s">
        <v>106</v>
      </c>
      <c r="J14" s="63" t="s">
        <v>107</v>
      </c>
      <c r="K14" s="64">
        <v>0</v>
      </c>
      <c r="L14" s="64">
        <v>0</v>
      </c>
      <c r="M14" s="64">
        <v>0</v>
      </c>
      <c r="N14" s="64">
        <v>0</v>
      </c>
      <c r="O14" s="63">
        <v>0</v>
      </c>
      <c r="P14" s="63">
        <v>0</v>
      </c>
      <c r="Q14" s="63" t="s">
        <v>111</v>
      </c>
      <c r="R14" s="63" t="s">
        <v>108</v>
      </c>
      <c r="S14" s="64" t="str">
        <f>VLOOKUP(FindRates5[[#This Row],[FromCode]],$A$2:$B$14,2,FALSE)</f>
        <v>Sector B</v>
      </c>
      <c r="T14" s="65" t="str">
        <f>VLOOKUP(FindRates5[[#This Row],[Tocode]],$A$2:$B$14,2,FALSE)</f>
        <v>Sector A</v>
      </c>
      <c r="U14" s="66"/>
    </row>
    <row r="15" spans="1:21" x14ac:dyDescent="0.2">
      <c r="A15" s="31" t="s">
        <v>119</v>
      </c>
      <c r="B15" s="72" t="s">
        <v>465</v>
      </c>
      <c r="C15" s="73" t="s">
        <v>119</v>
      </c>
      <c r="E15" s="70" t="s">
        <v>134</v>
      </c>
      <c r="F15" s="71"/>
      <c r="H15" s="62" t="str">
        <f>FindRates5[[#This Row],[FromCode]]&amp;FindRates5[[#This Row],[Tocode]]</f>
        <v>BB</v>
      </c>
      <c r="I15" s="63" t="s">
        <v>106</v>
      </c>
      <c r="J15" s="63" t="s">
        <v>107</v>
      </c>
      <c r="K15" s="64">
        <v>0</v>
      </c>
      <c r="L15" s="64">
        <v>0</v>
      </c>
      <c r="M15" s="64">
        <v>0</v>
      </c>
      <c r="N15" s="64">
        <v>0</v>
      </c>
      <c r="O15" s="64">
        <v>0</v>
      </c>
      <c r="P15" s="64">
        <v>0</v>
      </c>
      <c r="Q15" s="63" t="s">
        <v>111</v>
      </c>
      <c r="R15" s="63" t="s">
        <v>111</v>
      </c>
      <c r="S15" s="64" t="str">
        <f>VLOOKUP(FindRates5[[#This Row],[FromCode]],$A$2:$B$14,2,FALSE)</f>
        <v>Sector B</v>
      </c>
      <c r="T15" s="65" t="str">
        <f>VLOOKUP(FindRates5[[#This Row],[Tocode]],$A$2:$B$14,2,FALSE)</f>
        <v>Sector B</v>
      </c>
      <c r="U15" s="66"/>
    </row>
    <row r="16" spans="1:21" x14ac:dyDescent="0.2">
      <c r="H16" s="62" t="str">
        <f>FindRates5[[#This Row],[FromCode]]&amp;FindRates5[[#This Row],[Tocode]]</f>
        <v>BC</v>
      </c>
      <c r="I16" s="63" t="s">
        <v>106</v>
      </c>
      <c r="J16" s="63" t="s">
        <v>107</v>
      </c>
      <c r="K16" s="64">
        <v>0</v>
      </c>
      <c r="L16" s="64">
        <v>0</v>
      </c>
      <c r="M16" s="64">
        <v>0</v>
      </c>
      <c r="N16" s="64">
        <v>0</v>
      </c>
      <c r="O16" s="64">
        <v>0</v>
      </c>
      <c r="P16" s="64">
        <v>0</v>
      </c>
      <c r="Q16" s="63" t="s">
        <v>111</v>
      </c>
      <c r="R16" s="63" t="s">
        <v>115</v>
      </c>
      <c r="S16" s="64" t="str">
        <f>VLOOKUP(FindRates5[[#This Row],[FromCode]],$A$2:$B$14,2,FALSE)</f>
        <v>Sector B</v>
      </c>
      <c r="T16" s="65" t="str">
        <f>VLOOKUP(FindRates5[[#This Row],[Tocode]],$A$2:$B$14,2,FALSE)</f>
        <v>Sector C</v>
      </c>
      <c r="U16" s="66"/>
    </row>
    <row r="17" spans="2:21" x14ac:dyDescent="0.2">
      <c r="H17" s="62" t="str">
        <f>FindRates5[[#This Row],[FromCode]]&amp;FindRates5[[#This Row],[Tocode]]</f>
        <v>BD</v>
      </c>
      <c r="I17" s="63" t="s">
        <v>106</v>
      </c>
      <c r="J17" s="63" t="s">
        <v>107</v>
      </c>
      <c r="K17" s="64">
        <v>0</v>
      </c>
      <c r="L17" s="64">
        <v>0</v>
      </c>
      <c r="M17" s="64">
        <v>0</v>
      </c>
      <c r="N17" s="64">
        <v>0</v>
      </c>
      <c r="O17" s="64">
        <v>0</v>
      </c>
      <c r="P17" s="64">
        <v>0</v>
      </c>
      <c r="Q17" s="63" t="s">
        <v>111</v>
      </c>
      <c r="R17" s="63" t="s">
        <v>117</v>
      </c>
      <c r="S17" s="64" t="str">
        <f>VLOOKUP(FindRates5[[#This Row],[FromCode]],$A$2:$B$14,2,FALSE)</f>
        <v>Sector B</v>
      </c>
      <c r="T17" s="65" t="str">
        <f>VLOOKUP(FindRates5[[#This Row],[Tocode]],$A$2:$B$14,2,FALSE)</f>
        <v>Sector D</v>
      </c>
      <c r="U17" s="66"/>
    </row>
    <row r="18" spans="2:21" x14ac:dyDescent="0.2">
      <c r="H18" s="62" t="str">
        <f>FindRates5[[#This Row],[FromCode]]&amp;FindRates5[[#This Row],[Tocode]]</f>
        <v>BG</v>
      </c>
      <c r="I18" s="63" t="s">
        <v>106</v>
      </c>
      <c r="J18" s="63" t="s">
        <v>59</v>
      </c>
      <c r="K18" s="63">
        <v>0</v>
      </c>
      <c r="L18" s="63">
        <v>0</v>
      </c>
      <c r="M18" s="63">
        <v>0</v>
      </c>
      <c r="N18" s="63">
        <v>0</v>
      </c>
      <c r="O18" s="63">
        <v>1</v>
      </c>
      <c r="P18" s="63">
        <v>0</v>
      </c>
      <c r="Q18" s="63" t="s">
        <v>111</v>
      </c>
      <c r="R18" s="63" t="s">
        <v>121</v>
      </c>
      <c r="S18" s="64" t="str">
        <f>VLOOKUP(FindRates5[[#This Row],[FromCode]],$A$2:$B$14,2,FALSE)</f>
        <v>Sector B</v>
      </c>
      <c r="T18" s="65" t="str">
        <f>VLOOKUP(FindRates5[[#This Row],[Tocode]],$A$2:$B$14,2,FALSE)</f>
        <v>Gravesend</v>
      </c>
      <c r="U18" s="66"/>
    </row>
    <row r="19" spans="2:21" x14ac:dyDescent="0.2">
      <c r="H19" s="62" t="str">
        <f>FindRates5[[#This Row],[FromCode]]&amp;FindRates5[[#This Row],[Tocode]]</f>
        <v>BT</v>
      </c>
      <c r="I19" s="63" t="s">
        <v>106</v>
      </c>
      <c r="J19" s="63" t="s">
        <v>59</v>
      </c>
      <c r="K19" s="63">
        <v>0</v>
      </c>
      <c r="L19" s="63">
        <v>0</v>
      </c>
      <c r="M19" s="63">
        <v>0</v>
      </c>
      <c r="N19" s="63">
        <v>0</v>
      </c>
      <c r="O19" s="63">
        <v>0</v>
      </c>
      <c r="P19" s="63">
        <v>0</v>
      </c>
      <c r="Q19" s="74" t="s">
        <v>111</v>
      </c>
      <c r="R19" s="74" t="s">
        <v>124</v>
      </c>
      <c r="S19" s="75" t="str">
        <f>VLOOKUP(FindRates5[[#This Row],[FromCode]],$A$2:$B$14,2,FALSE)</f>
        <v>Sector B</v>
      </c>
      <c r="T19" s="76" t="str">
        <f>VLOOKUP(FindRates5[[#This Row],[Tocode]],$A$2:$B$14,2,FALSE)</f>
        <v>Tilbury2</v>
      </c>
      <c r="U19" s="66"/>
    </row>
    <row r="20" spans="2:21" x14ac:dyDescent="0.2">
      <c r="B20" s="86"/>
      <c r="H20" s="62" t="str">
        <f>FindRates5[[#This Row],[FromCode]]&amp;FindRates5[[#This Row],[Tocode]]</f>
        <v>BH</v>
      </c>
      <c r="I20" s="63" t="s">
        <v>45</v>
      </c>
      <c r="J20" s="63" t="s">
        <v>59</v>
      </c>
      <c r="K20" s="63">
        <v>0</v>
      </c>
      <c r="L20" s="63">
        <v>0</v>
      </c>
      <c r="M20" s="63">
        <v>0</v>
      </c>
      <c r="N20" s="63">
        <v>1</v>
      </c>
      <c r="O20" s="63">
        <v>1</v>
      </c>
      <c r="P20" s="63">
        <v>0</v>
      </c>
      <c r="Q20" s="63" t="s">
        <v>111</v>
      </c>
      <c r="R20" s="63" t="s">
        <v>109</v>
      </c>
      <c r="S20" s="64" t="str">
        <f>VLOOKUP(FindRates5[[#This Row],[FromCode]],$A$2:$B$14,2,FALSE)</f>
        <v>Sector B</v>
      </c>
      <c r="T20" s="65" t="str">
        <f>VLOOKUP(FindRates5[[#This Row],[Tocode]],$A$2:$B$14,2,FALSE)</f>
        <v>Sunk</v>
      </c>
      <c r="U20" s="66"/>
    </row>
    <row r="21" spans="2:21" x14ac:dyDescent="0.2">
      <c r="B21" s="86"/>
      <c r="H21" s="62" t="str">
        <f>FindRates5[[#This Row],[FromCode]]&amp;FindRates5[[#This Row],[Tocode]]</f>
        <v>BM</v>
      </c>
      <c r="I21" s="63" t="s">
        <v>52</v>
      </c>
      <c r="J21" s="63" t="s">
        <v>59</v>
      </c>
      <c r="K21" s="63">
        <v>0</v>
      </c>
      <c r="L21" s="63">
        <v>0</v>
      </c>
      <c r="M21" s="80">
        <v>1</v>
      </c>
      <c r="N21" s="63">
        <v>0</v>
      </c>
      <c r="O21" s="63">
        <v>1</v>
      </c>
      <c r="P21" s="63">
        <v>0</v>
      </c>
      <c r="Q21" s="63" t="s">
        <v>111</v>
      </c>
      <c r="R21" s="63" t="s">
        <v>116</v>
      </c>
      <c r="S21" s="64" t="str">
        <f>VLOOKUP(FindRates5[[#This Row],[FromCode]],$A$2:$B$14,2,FALSE)</f>
        <v>Sector B</v>
      </c>
      <c r="T21" s="65" t="str">
        <f>VLOOKUP(FindRates5[[#This Row],[Tocode]],$A$2:$B$14,2,FALSE)</f>
        <v>Medway</v>
      </c>
      <c r="U21" s="66"/>
    </row>
    <row r="22" spans="2:21" x14ac:dyDescent="0.2">
      <c r="H22" s="62" t="str">
        <f>FindRates5[[#This Row],[FromCode]]&amp;FindRates5[[#This Row],[Tocode]]</f>
        <v>BO</v>
      </c>
      <c r="I22" s="63" t="s">
        <v>56</v>
      </c>
      <c r="J22" s="63" t="s">
        <v>59</v>
      </c>
      <c r="K22" s="63">
        <v>0</v>
      </c>
      <c r="L22" s="63">
        <v>0</v>
      </c>
      <c r="M22" s="63">
        <v>0</v>
      </c>
      <c r="N22" s="63">
        <v>0</v>
      </c>
      <c r="O22" s="63">
        <v>1</v>
      </c>
      <c r="P22" s="63">
        <v>0</v>
      </c>
      <c r="Q22" s="63" t="s">
        <v>111</v>
      </c>
      <c r="R22" s="63" t="s">
        <v>119</v>
      </c>
      <c r="S22" s="64" t="str">
        <f>VLOOKUP(FindRates5[[#This Row],[FromCode]],$A$2:$B$14,2,FALSE)</f>
        <v>Sector B</v>
      </c>
      <c r="T22" s="65" t="str">
        <f>VLOOKUP(FindRates5[[#This Row],[Tocode]],$A$2:$B$14,2,FALSE)</f>
        <v>Oil Terminal</v>
      </c>
      <c r="U22" s="66"/>
    </row>
    <row r="23" spans="2:21" x14ac:dyDescent="0.2">
      <c r="H23" s="62" t="str">
        <f>FindRates5[[#This Row],[FromCode]]&amp;FindRates5[[#This Row],[Tocode]]</f>
        <v>BZ</v>
      </c>
      <c r="I23" s="63" t="s">
        <v>56</v>
      </c>
      <c r="J23" s="63" t="s">
        <v>59</v>
      </c>
      <c r="K23" s="63">
        <v>0</v>
      </c>
      <c r="L23" s="63">
        <v>0</v>
      </c>
      <c r="M23" s="63">
        <v>0</v>
      </c>
      <c r="N23" s="63">
        <v>0</v>
      </c>
      <c r="O23" s="63">
        <v>1</v>
      </c>
      <c r="P23" s="63">
        <v>1</v>
      </c>
      <c r="Q23" s="63" t="s">
        <v>111</v>
      </c>
      <c r="R23" s="63" t="s">
        <v>123</v>
      </c>
      <c r="S23" s="75" t="str">
        <f>VLOOKUP(FindRates5[[#This Row],[FromCode]],$A$2:$B$14,2,FALSE)</f>
        <v>Sector B</v>
      </c>
      <c r="T23" s="76" t="str">
        <f>VLOOKUP(FindRates5[[#This Row],[Tocode]],$A$2:$B$14,2,FALSE)</f>
        <v>Chapmans Anchor</v>
      </c>
      <c r="U23" s="66"/>
    </row>
    <row r="24" spans="2:21" x14ac:dyDescent="0.2">
      <c r="H24" s="62" t="str">
        <f>FindRates5[[#This Row],[FromCode]]&amp;FindRates5[[#This Row],[Tocode]]</f>
        <v>BR</v>
      </c>
      <c r="I24" s="63" t="s">
        <v>40</v>
      </c>
      <c r="J24" s="63" t="s">
        <v>59</v>
      </c>
      <c r="K24" s="63">
        <v>1</v>
      </c>
      <c r="L24" s="63">
        <v>0</v>
      </c>
      <c r="M24" s="63">
        <v>0</v>
      </c>
      <c r="N24" s="63">
        <v>0</v>
      </c>
      <c r="O24" s="63">
        <v>1</v>
      </c>
      <c r="P24" s="63">
        <v>0</v>
      </c>
      <c r="Q24" s="63" t="s">
        <v>111</v>
      </c>
      <c r="R24" s="63" t="s">
        <v>104</v>
      </c>
      <c r="S24" s="64" t="str">
        <f>VLOOKUP(FindRates5[[#This Row],[FromCode]],$A$2:$B$14,2,FALSE)</f>
        <v>Sector B</v>
      </c>
      <c r="T24" s="65" t="str">
        <f>VLOOKUP(FindRates5[[#This Row],[Tocode]],$A$2:$B$14,2,FALSE)</f>
        <v>NE Spit</v>
      </c>
      <c r="U24" s="66"/>
    </row>
    <row r="25" spans="2:21" x14ac:dyDescent="0.2">
      <c r="H25" s="62" t="str">
        <f>FindRates5[[#This Row],[FromCode]]&amp;FindRates5[[#This Row],[Tocode]]</f>
        <v>BW</v>
      </c>
      <c r="I25" s="63" t="s">
        <v>50</v>
      </c>
      <c r="J25" s="63" t="s">
        <v>59</v>
      </c>
      <c r="K25" s="63">
        <v>0</v>
      </c>
      <c r="L25" s="63">
        <v>1</v>
      </c>
      <c r="M25" s="63">
        <v>0</v>
      </c>
      <c r="N25" s="63">
        <v>0</v>
      </c>
      <c r="O25" s="63">
        <v>1</v>
      </c>
      <c r="P25" s="63">
        <v>0</v>
      </c>
      <c r="Q25" s="63" t="s">
        <v>111</v>
      </c>
      <c r="R25" s="63" t="s">
        <v>113</v>
      </c>
      <c r="S25" s="64" t="str">
        <f>VLOOKUP(FindRates5[[#This Row],[FromCode]],$A$2:$B$14,2,FALSE)</f>
        <v>Sector B</v>
      </c>
      <c r="T25" s="65" t="str">
        <f>VLOOKUP(FindRates5[[#This Row],[Tocode]],$A$2:$B$14,2,FALSE)</f>
        <v>Warp</v>
      </c>
      <c r="U25" s="66"/>
    </row>
    <row r="26" spans="2:21" x14ac:dyDescent="0.2">
      <c r="H26" s="62" t="str">
        <f>FindRates5[[#This Row],[FromCode]]&amp;FindRates5[[#This Row],[Tocode]]</f>
        <v>CA</v>
      </c>
      <c r="I26" s="63" t="s">
        <v>106</v>
      </c>
      <c r="J26" s="63" t="s">
        <v>107</v>
      </c>
      <c r="K26" s="64">
        <v>0</v>
      </c>
      <c r="L26" s="64">
        <v>0</v>
      </c>
      <c r="M26" s="64">
        <v>0</v>
      </c>
      <c r="N26" s="64">
        <v>0</v>
      </c>
      <c r="O26" s="64">
        <v>0</v>
      </c>
      <c r="P26" s="64">
        <v>0</v>
      </c>
      <c r="Q26" s="63" t="s">
        <v>115</v>
      </c>
      <c r="R26" s="63" t="s">
        <v>108</v>
      </c>
      <c r="S26" s="64" t="str">
        <f>VLOOKUP(FindRates5[[#This Row],[FromCode]],$A$2:$B$14,2,FALSE)</f>
        <v>Sector C</v>
      </c>
      <c r="T26" s="65" t="str">
        <f>VLOOKUP(FindRates5[[#This Row],[Tocode]],$A$2:$B$14,2,FALSE)</f>
        <v>Sector A</v>
      </c>
      <c r="U26" s="66"/>
    </row>
    <row r="27" spans="2:21" x14ac:dyDescent="0.2">
      <c r="H27" s="62" t="str">
        <f>FindRates5[[#This Row],[FromCode]]&amp;FindRates5[[#This Row],[Tocode]]</f>
        <v>CB</v>
      </c>
      <c r="I27" s="63" t="s">
        <v>106</v>
      </c>
      <c r="J27" s="63" t="s">
        <v>107</v>
      </c>
      <c r="K27" s="64">
        <v>0</v>
      </c>
      <c r="L27" s="64">
        <v>0</v>
      </c>
      <c r="M27" s="64">
        <v>0</v>
      </c>
      <c r="N27" s="64">
        <v>0</v>
      </c>
      <c r="O27" s="64">
        <v>0</v>
      </c>
      <c r="P27" s="64">
        <v>0</v>
      </c>
      <c r="Q27" s="63" t="s">
        <v>115</v>
      </c>
      <c r="R27" s="63" t="s">
        <v>111</v>
      </c>
      <c r="S27" s="64" t="str">
        <f>VLOOKUP(FindRates5[[#This Row],[FromCode]],$A$2:$B$14,2,FALSE)</f>
        <v>Sector C</v>
      </c>
      <c r="T27" s="65" t="str">
        <f>VLOOKUP(FindRates5[[#This Row],[Tocode]],$A$2:$B$14,2,FALSE)</f>
        <v>Sector B</v>
      </c>
      <c r="U27" s="66"/>
    </row>
    <row r="28" spans="2:21" x14ac:dyDescent="0.2">
      <c r="H28" s="62" t="str">
        <f>FindRates5[[#This Row],[FromCode]]&amp;FindRates5[[#This Row],[Tocode]]</f>
        <v>CC</v>
      </c>
      <c r="I28" s="63" t="s">
        <v>106</v>
      </c>
      <c r="J28" s="63" t="s">
        <v>107</v>
      </c>
      <c r="K28" s="64">
        <v>0</v>
      </c>
      <c r="L28" s="64">
        <v>0</v>
      </c>
      <c r="M28" s="64">
        <v>0</v>
      </c>
      <c r="N28" s="64">
        <v>0</v>
      </c>
      <c r="O28" s="64">
        <v>0</v>
      </c>
      <c r="P28" s="64">
        <v>0</v>
      </c>
      <c r="Q28" s="63" t="s">
        <v>115</v>
      </c>
      <c r="R28" s="63" t="s">
        <v>115</v>
      </c>
      <c r="S28" s="64" t="str">
        <f>VLOOKUP(FindRates5[[#This Row],[FromCode]],$A$2:$B$14,2,FALSE)</f>
        <v>Sector C</v>
      </c>
      <c r="T28" s="65" t="str">
        <f>VLOOKUP(FindRates5[[#This Row],[Tocode]],$A$2:$B$14,2,FALSE)</f>
        <v>Sector C</v>
      </c>
      <c r="U28" s="66"/>
    </row>
    <row r="29" spans="2:21" x14ac:dyDescent="0.2">
      <c r="H29" s="62" t="str">
        <f>FindRates5[[#This Row],[FromCode]]&amp;FindRates5[[#This Row],[Tocode]]</f>
        <v>CD</v>
      </c>
      <c r="I29" s="63" t="s">
        <v>106</v>
      </c>
      <c r="J29" s="63" t="s">
        <v>107</v>
      </c>
      <c r="K29" s="64">
        <v>0</v>
      </c>
      <c r="L29" s="64">
        <v>0</v>
      </c>
      <c r="M29" s="64">
        <v>0</v>
      </c>
      <c r="N29" s="64">
        <v>0</v>
      </c>
      <c r="O29" s="64">
        <v>0</v>
      </c>
      <c r="P29" s="64">
        <v>0</v>
      </c>
      <c r="Q29" s="63" t="s">
        <v>115</v>
      </c>
      <c r="R29" s="63" t="s">
        <v>117</v>
      </c>
      <c r="S29" s="64" t="str">
        <f>VLOOKUP(FindRates5[[#This Row],[FromCode]],$A$2:$B$14,2,FALSE)</f>
        <v>Sector C</v>
      </c>
      <c r="T29" s="65" t="str">
        <f>VLOOKUP(FindRates5[[#This Row],[Tocode]],$A$2:$B$14,2,FALSE)</f>
        <v>Sector D</v>
      </c>
      <c r="U29" s="66"/>
    </row>
    <row r="30" spans="2:21" x14ac:dyDescent="0.2">
      <c r="H30" s="62" t="str">
        <f>FindRates5[[#This Row],[FromCode]]&amp;FindRates5[[#This Row],[Tocode]]</f>
        <v>CG</v>
      </c>
      <c r="I30" s="63" t="s">
        <v>106</v>
      </c>
      <c r="J30" s="63" t="s">
        <v>61</v>
      </c>
      <c r="K30" s="63">
        <v>0</v>
      </c>
      <c r="L30" s="63">
        <v>0</v>
      </c>
      <c r="M30" s="63">
        <v>0</v>
      </c>
      <c r="N30" s="63">
        <v>0</v>
      </c>
      <c r="O30" s="63">
        <v>1</v>
      </c>
      <c r="P30" s="63">
        <v>0</v>
      </c>
      <c r="Q30" s="63" t="s">
        <v>115</v>
      </c>
      <c r="R30" s="63" t="s">
        <v>121</v>
      </c>
      <c r="S30" s="64" t="str">
        <f>VLOOKUP(FindRates5[[#This Row],[FromCode]],$A$2:$B$14,2,FALSE)</f>
        <v>Sector C</v>
      </c>
      <c r="T30" s="65" t="str">
        <f>VLOOKUP(FindRates5[[#This Row],[Tocode]],$A$2:$B$14,2,FALSE)</f>
        <v>Gravesend</v>
      </c>
      <c r="U30" s="66"/>
    </row>
    <row r="31" spans="2:21" x14ac:dyDescent="0.2">
      <c r="H31" s="62" t="str">
        <f>FindRates5[[#This Row],[FromCode]]&amp;FindRates5[[#This Row],[Tocode]]</f>
        <v>CT</v>
      </c>
      <c r="I31" s="63" t="s">
        <v>106</v>
      </c>
      <c r="J31" s="63" t="s">
        <v>61</v>
      </c>
      <c r="K31" s="63">
        <v>0</v>
      </c>
      <c r="L31" s="63">
        <v>0</v>
      </c>
      <c r="M31" s="63">
        <v>0</v>
      </c>
      <c r="N31" s="63">
        <v>0</v>
      </c>
      <c r="O31" s="63">
        <v>0</v>
      </c>
      <c r="P31" s="63">
        <v>0</v>
      </c>
      <c r="Q31" s="74" t="s">
        <v>115</v>
      </c>
      <c r="R31" s="74" t="s">
        <v>124</v>
      </c>
      <c r="S31" s="75" t="str">
        <f>VLOOKUP(FindRates5[[#This Row],[FromCode]],$A$2:$B$14,2,FALSE)</f>
        <v>Sector C</v>
      </c>
      <c r="T31" s="76" t="str">
        <f>VLOOKUP(FindRates5[[#This Row],[Tocode]],$A$2:$B$14,2,FALSE)</f>
        <v>Tilbury2</v>
      </c>
      <c r="U31" s="66"/>
    </row>
    <row r="32" spans="2:21" x14ac:dyDescent="0.2">
      <c r="H32" s="62" t="str">
        <f>FindRates5[[#This Row],[FromCode]]&amp;FindRates5[[#This Row],[Tocode]]</f>
        <v>CH</v>
      </c>
      <c r="I32" s="63" t="s">
        <v>45</v>
      </c>
      <c r="J32" s="63" t="s">
        <v>61</v>
      </c>
      <c r="K32" s="63">
        <v>0</v>
      </c>
      <c r="L32" s="63">
        <v>0</v>
      </c>
      <c r="M32" s="63">
        <v>0</v>
      </c>
      <c r="N32" s="63">
        <v>1</v>
      </c>
      <c r="O32" s="63">
        <v>1</v>
      </c>
      <c r="P32" s="63">
        <v>0</v>
      </c>
      <c r="Q32" s="63" t="s">
        <v>115</v>
      </c>
      <c r="R32" s="63" t="s">
        <v>109</v>
      </c>
      <c r="S32" s="64" t="str">
        <f>VLOOKUP(FindRates5[[#This Row],[FromCode]],$A$2:$B$14,2,FALSE)</f>
        <v>Sector C</v>
      </c>
      <c r="T32" s="65" t="str">
        <f>VLOOKUP(FindRates5[[#This Row],[Tocode]],$A$2:$B$14,2,FALSE)</f>
        <v>Sunk</v>
      </c>
      <c r="U32" s="66"/>
    </row>
    <row r="33" spans="5:21" x14ac:dyDescent="0.2">
      <c r="H33" s="62" t="str">
        <f>FindRates5[[#This Row],[FromCode]]&amp;FindRates5[[#This Row],[Tocode]]</f>
        <v>CM</v>
      </c>
      <c r="I33" s="63" t="s">
        <v>52</v>
      </c>
      <c r="J33" s="63" t="s">
        <v>61</v>
      </c>
      <c r="K33" s="63">
        <v>0</v>
      </c>
      <c r="L33" s="63">
        <v>0</v>
      </c>
      <c r="M33" s="80">
        <v>1</v>
      </c>
      <c r="N33" s="63">
        <v>0</v>
      </c>
      <c r="O33" s="63">
        <v>1</v>
      </c>
      <c r="P33" s="63">
        <v>0</v>
      </c>
      <c r="Q33" s="63" t="s">
        <v>115</v>
      </c>
      <c r="R33" s="63" t="s">
        <v>116</v>
      </c>
      <c r="S33" s="64" t="str">
        <f>VLOOKUP(FindRates5[[#This Row],[FromCode]],$A$2:$B$14,2,FALSE)</f>
        <v>Sector C</v>
      </c>
      <c r="T33" s="65" t="str">
        <f>VLOOKUP(FindRates5[[#This Row],[Tocode]],$A$2:$B$14,2,FALSE)</f>
        <v>Medway</v>
      </c>
      <c r="U33" s="66"/>
    </row>
    <row r="34" spans="5:21" x14ac:dyDescent="0.2">
      <c r="H34" s="62" t="str">
        <f>FindRates5[[#This Row],[FromCode]]&amp;FindRates5[[#This Row],[Tocode]]</f>
        <v>CO</v>
      </c>
      <c r="I34" s="63" t="s">
        <v>56</v>
      </c>
      <c r="J34" s="63" t="s">
        <v>61</v>
      </c>
      <c r="K34" s="63">
        <v>0</v>
      </c>
      <c r="L34" s="63">
        <v>0</v>
      </c>
      <c r="M34" s="63">
        <v>0</v>
      </c>
      <c r="N34" s="63">
        <v>0</v>
      </c>
      <c r="O34" s="63">
        <v>1</v>
      </c>
      <c r="P34" s="63">
        <v>0</v>
      </c>
      <c r="Q34" s="63" t="s">
        <v>115</v>
      </c>
      <c r="R34" s="63" t="s">
        <v>119</v>
      </c>
      <c r="S34" s="64" t="str">
        <f>VLOOKUP(FindRates5[[#This Row],[FromCode]],$A$2:$B$14,2,FALSE)</f>
        <v>Sector C</v>
      </c>
      <c r="T34" s="65" t="str">
        <f>VLOOKUP(FindRates5[[#This Row],[Tocode]],$A$2:$B$14,2,FALSE)</f>
        <v>Oil Terminal</v>
      </c>
      <c r="U34" s="66"/>
    </row>
    <row r="35" spans="5:21" x14ac:dyDescent="0.2">
      <c r="E35" s="4"/>
      <c r="F35" s="4"/>
      <c r="H35" s="62" t="str">
        <f>FindRates5[[#This Row],[FromCode]]&amp;FindRates5[[#This Row],[Tocode]]</f>
        <v>CZ</v>
      </c>
      <c r="I35" s="63" t="s">
        <v>56</v>
      </c>
      <c r="J35" s="63" t="s">
        <v>61</v>
      </c>
      <c r="K35" s="63">
        <v>0</v>
      </c>
      <c r="L35" s="63">
        <v>0</v>
      </c>
      <c r="M35" s="63">
        <v>0</v>
      </c>
      <c r="N35" s="63">
        <v>0</v>
      </c>
      <c r="O35" s="63">
        <v>1</v>
      </c>
      <c r="P35" s="63">
        <v>1</v>
      </c>
      <c r="Q35" s="63" t="s">
        <v>115</v>
      </c>
      <c r="R35" s="63" t="s">
        <v>123</v>
      </c>
      <c r="S35" s="75" t="str">
        <f>VLOOKUP(FindRates5[[#This Row],[FromCode]],$A$2:$B$14,2,FALSE)</f>
        <v>Sector C</v>
      </c>
      <c r="T35" s="76" t="str">
        <f>VLOOKUP(FindRates5[[#This Row],[Tocode]],$A$2:$B$14,2,FALSE)</f>
        <v>Chapmans Anchor</v>
      </c>
      <c r="U35" s="87"/>
    </row>
    <row r="36" spans="5:21" x14ac:dyDescent="0.2">
      <c r="F36" s="31"/>
      <c r="H36" s="62" t="str">
        <f>FindRates5[[#This Row],[FromCode]]&amp;FindRates5[[#This Row],[Tocode]]</f>
        <v>CR</v>
      </c>
      <c r="I36" s="63" t="s">
        <v>40</v>
      </c>
      <c r="J36" s="63" t="s">
        <v>61</v>
      </c>
      <c r="K36" s="63">
        <v>1</v>
      </c>
      <c r="L36" s="63">
        <v>0</v>
      </c>
      <c r="M36" s="63">
        <v>0</v>
      </c>
      <c r="N36" s="63">
        <v>0</v>
      </c>
      <c r="O36" s="63">
        <v>1</v>
      </c>
      <c r="P36" s="63">
        <v>0</v>
      </c>
      <c r="Q36" s="63" t="s">
        <v>115</v>
      </c>
      <c r="R36" s="63" t="s">
        <v>104</v>
      </c>
      <c r="S36" s="64" t="str">
        <f>VLOOKUP(FindRates5[[#This Row],[FromCode]],$A$2:$B$14,2,FALSE)</f>
        <v>Sector C</v>
      </c>
      <c r="T36" s="65" t="str">
        <f>VLOOKUP(FindRates5[[#This Row],[Tocode]],$A$2:$B$14,2,FALSE)</f>
        <v>NE Spit</v>
      </c>
      <c r="U36" s="66"/>
    </row>
    <row r="37" spans="5:21" x14ac:dyDescent="0.2">
      <c r="H37" s="62" t="str">
        <f>FindRates5[[#This Row],[FromCode]]&amp;FindRates5[[#This Row],[Tocode]]</f>
        <v>CW</v>
      </c>
      <c r="I37" s="63" t="s">
        <v>50</v>
      </c>
      <c r="J37" s="63" t="s">
        <v>61</v>
      </c>
      <c r="K37" s="63">
        <v>0</v>
      </c>
      <c r="L37" s="63">
        <v>1</v>
      </c>
      <c r="M37" s="63">
        <v>0</v>
      </c>
      <c r="N37" s="63">
        <v>0</v>
      </c>
      <c r="O37" s="63">
        <v>1</v>
      </c>
      <c r="P37" s="63">
        <v>0</v>
      </c>
      <c r="Q37" s="63" t="s">
        <v>115</v>
      </c>
      <c r="R37" s="63" t="s">
        <v>113</v>
      </c>
      <c r="S37" s="64" t="str">
        <f>VLOOKUP(FindRates5[[#This Row],[FromCode]],$A$2:$B$14,2,FALSE)</f>
        <v>Sector C</v>
      </c>
      <c r="T37" s="65" t="str">
        <f>VLOOKUP(FindRates5[[#This Row],[Tocode]],$A$2:$B$14,2,FALSE)</f>
        <v>Warp</v>
      </c>
      <c r="U37" s="66"/>
    </row>
    <row r="38" spans="5:21" x14ac:dyDescent="0.2">
      <c r="H38" s="62" t="str">
        <f>FindRates5[[#This Row],[FromCode]]&amp;FindRates5[[#This Row],[Tocode]]</f>
        <v>DA</v>
      </c>
      <c r="I38" s="63" t="s">
        <v>106</v>
      </c>
      <c r="J38" s="63" t="s">
        <v>107</v>
      </c>
      <c r="K38" s="64">
        <v>0</v>
      </c>
      <c r="L38" s="64">
        <v>0</v>
      </c>
      <c r="M38" s="64">
        <v>0</v>
      </c>
      <c r="N38" s="64">
        <v>0</v>
      </c>
      <c r="O38" s="64">
        <v>0</v>
      </c>
      <c r="P38" s="64">
        <v>0</v>
      </c>
      <c r="Q38" s="63" t="s">
        <v>117</v>
      </c>
      <c r="R38" s="63" t="s">
        <v>108</v>
      </c>
      <c r="S38" s="64" t="str">
        <f>VLOOKUP(FindRates5[[#This Row],[FromCode]],$A$2:$B$14,2,FALSE)</f>
        <v>Sector D</v>
      </c>
      <c r="T38" s="65" t="str">
        <f>VLOOKUP(FindRates5[[#This Row],[Tocode]],$A$2:$B$14,2,FALSE)</f>
        <v>Sector A</v>
      </c>
      <c r="U38" s="66"/>
    </row>
    <row r="39" spans="5:21" x14ac:dyDescent="0.2">
      <c r="H39" s="62" t="str">
        <f>FindRates5[[#This Row],[FromCode]]&amp;FindRates5[[#This Row],[Tocode]]</f>
        <v>DB</v>
      </c>
      <c r="I39" s="63" t="s">
        <v>106</v>
      </c>
      <c r="J39" s="63" t="s">
        <v>107</v>
      </c>
      <c r="K39" s="64">
        <v>0</v>
      </c>
      <c r="L39" s="64">
        <v>0</v>
      </c>
      <c r="M39" s="64">
        <v>0</v>
      </c>
      <c r="N39" s="64">
        <v>0</v>
      </c>
      <c r="O39" s="64">
        <v>0</v>
      </c>
      <c r="P39" s="64">
        <v>0</v>
      </c>
      <c r="Q39" s="63" t="s">
        <v>117</v>
      </c>
      <c r="R39" s="63" t="s">
        <v>111</v>
      </c>
      <c r="S39" s="64" t="str">
        <f>VLOOKUP(FindRates5[[#This Row],[FromCode]],$A$2:$B$14,2,FALSE)</f>
        <v>Sector D</v>
      </c>
      <c r="T39" s="65" t="str">
        <f>VLOOKUP(FindRates5[[#This Row],[Tocode]],$A$2:$B$14,2,FALSE)</f>
        <v>Sector B</v>
      </c>
      <c r="U39" s="66"/>
    </row>
    <row r="40" spans="5:21" x14ac:dyDescent="0.2">
      <c r="H40" s="62" t="str">
        <f>FindRates5[[#This Row],[FromCode]]&amp;FindRates5[[#This Row],[Tocode]]</f>
        <v>DC</v>
      </c>
      <c r="I40" s="63" t="s">
        <v>106</v>
      </c>
      <c r="J40" s="63" t="s">
        <v>107</v>
      </c>
      <c r="K40" s="64">
        <v>0</v>
      </c>
      <c r="L40" s="64">
        <v>0</v>
      </c>
      <c r="M40" s="64">
        <v>0</v>
      </c>
      <c r="N40" s="64">
        <v>0</v>
      </c>
      <c r="O40" s="64">
        <v>0</v>
      </c>
      <c r="P40" s="64">
        <v>0</v>
      </c>
      <c r="Q40" s="63" t="s">
        <v>117</v>
      </c>
      <c r="R40" s="63" t="s">
        <v>115</v>
      </c>
      <c r="S40" s="64" t="str">
        <f>VLOOKUP(FindRates5[[#This Row],[FromCode]],$A$2:$B$14,2,FALSE)</f>
        <v>Sector D</v>
      </c>
      <c r="T40" s="65" t="str">
        <f>VLOOKUP(FindRates5[[#This Row],[Tocode]],$A$2:$B$14,2,FALSE)</f>
        <v>Sector C</v>
      </c>
      <c r="U40" s="66"/>
    </row>
    <row r="41" spans="5:21" x14ac:dyDescent="0.2">
      <c r="H41" s="62" t="str">
        <f>FindRates5[[#This Row],[FromCode]]&amp;FindRates5[[#This Row],[Tocode]]</f>
        <v>DD</v>
      </c>
      <c r="I41" s="63" t="s">
        <v>106</v>
      </c>
      <c r="J41" s="63" t="s">
        <v>107</v>
      </c>
      <c r="K41" s="64">
        <v>0</v>
      </c>
      <c r="L41" s="64">
        <v>0</v>
      </c>
      <c r="M41" s="64">
        <v>0</v>
      </c>
      <c r="N41" s="64">
        <v>0</v>
      </c>
      <c r="O41" s="64">
        <v>0</v>
      </c>
      <c r="P41" s="64">
        <v>0</v>
      </c>
      <c r="Q41" s="63" t="s">
        <v>117</v>
      </c>
      <c r="R41" s="63" t="s">
        <v>117</v>
      </c>
      <c r="S41" s="64" t="str">
        <f>VLOOKUP(FindRates5[[#This Row],[FromCode]],$A$2:$B$14,2,FALSE)</f>
        <v>Sector D</v>
      </c>
      <c r="T41" s="65" t="str">
        <f>VLOOKUP(FindRates5[[#This Row],[Tocode]],$A$2:$B$14,2,FALSE)</f>
        <v>Sector D</v>
      </c>
      <c r="U41" s="66"/>
    </row>
    <row r="42" spans="5:21" x14ac:dyDescent="0.2">
      <c r="H42" s="62" t="s">
        <v>135</v>
      </c>
      <c r="I42" s="63" t="s">
        <v>106</v>
      </c>
      <c r="J42" s="63" t="s">
        <v>63</v>
      </c>
      <c r="K42" s="64">
        <v>0</v>
      </c>
      <c r="L42" s="64">
        <v>0</v>
      </c>
      <c r="M42" s="64">
        <v>0</v>
      </c>
      <c r="N42" s="64">
        <v>0</v>
      </c>
      <c r="O42" s="64">
        <v>1</v>
      </c>
      <c r="P42" s="64">
        <v>0</v>
      </c>
      <c r="Q42" s="63" t="s">
        <v>117</v>
      </c>
      <c r="R42" s="63" t="s">
        <v>121</v>
      </c>
      <c r="S42" s="64" t="str">
        <f>VLOOKUP(FindRates5[[#This Row],[FromCode]],$A$2:$B$14,2,FALSE)</f>
        <v>Sector D</v>
      </c>
      <c r="T42" s="65" t="str">
        <f>VLOOKUP(FindRates5[[#This Row],[Tocode]],$A$2:$B$14,2,FALSE)</f>
        <v>Gravesend</v>
      </c>
      <c r="U42" s="66"/>
    </row>
    <row r="43" spans="5:21" x14ac:dyDescent="0.2">
      <c r="G43" s="4"/>
      <c r="H43" s="62" t="str">
        <f>FindRates5[[#This Row],[FromCode]]&amp;FindRates5[[#This Row],[Tocode]]</f>
        <v>DT</v>
      </c>
      <c r="I43" s="63" t="s">
        <v>106</v>
      </c>
      <c r="J43" s="63" t="s">
        <v>63</v>
      </c>
      <c r="K43" s="64">
        <v>0</v>
      </c>
      <c r="L43" s="63">
        <v>0</v>
      </c>
      <c r="M43" s="64">
        <v>0</v>
      </c>
      <c r="N43" s="64">
        <v>0</v>
      </c>
      <c r="O43" s="64">
        <v>0</v>
      </c>
      <c r="P43" s="63">
        <v>0</v>
      </c>
      <c r="Q43" s="74" t="s">
        <v>117</v>
      </c>
      <c r="R43" s="74" t="s">
        <v>124</v>
      </c>
      <c r="S43" s="75" t="str">
        <f>VLOOKUP(FindRates5[[#This Row],[FromCode]],$A$2:$B$14,2,FALSE)</f>
        <v>Sector D</v>
      </c>
      <c r="T43" s="76" t="str">
        <f>VLOOKUP(FindRates5[[#This Row],[Tocode]],$A$2:$B$14,2,FALSE)</f>
        <v>Tilbury2</v>
      </c>
      <c r="U43" s="66"/>
    </row>
    <row r="44" spans="5:21" x14ac:dyDescent="0.2">
      <c r="H44" s="62" t="str">
        <f>FindRates5[[#This Row],[FromCode]]&amp;FindRates5[[#This Row],[Tocode]]</f>
        <v>DH</v>
      </c>
      <c r="I44" s="63" t="s">
        <v>45</v>
      </c>
      <c r="J44" s="63" t="s">
        <v>63</v>
      </c>
      <c r="K44" s="64">
        <v>0</v>
      </c>
      <c r="L44" s="64">
        <v>0</v>
      </c>
      <c r="M44" s="64">
        <v>0</v>
      </c>
      <c r="N44" s="64">
        <v>1</v>
      </c>
      <c r="O44" s="64">
        <v>1</v>
      </c>
      <c r="P44" s="64">
        <v>0</v>
      </c>
      <c r="Q44" s="74" t="s">
        <v>117</v>
      </c>
      <c r="R44" s="63" t="s">
        <v>109</v>
      </c>
      <c r="S44" s="64" t="str">
        <f>VLOOKUP(FindRates5[[#This Row],[FromCode]],$A$2:$B$14,2,FALSE)</f>
        <v>Sector D</v>
      </c>
      <c r="T44" s="65" t="str">
        <f>VLOOKUP(FindRates5[[#This Row],[Tocode]],$A$2:$B$14,2,FALSE)</f>
        <v>Sunk</v>
      </c>
      <c r="U44" s="66"/>
    </row>
    <row r="45" spans="5:21" x14ac:dyDescent="0.2">
      <c r="H45" s="62" t="s">
        <v>136</v>
      </c>
      <c r="I45" s="63" t="s">
        <v>52</v>
      </c>
      <c r="J45" s="63" t="s">
        <v>63</v>
      </c>
      <c r="K45" s="64">
        <v>0</v>
      </c>
      <c r="L45" s="64">
        <v>0</v>
      </c>
      <c r="M45" s="88">
        <v>1</v>
      </c>
      <c r="N45" s="64">
        <v>0</v>
      </c>
      <c r="O45" s="64">
        <v>1</v>
      </c>
      <c r="P45" s="64">
        <v>0</v>
      </c>
      <c r="Q45" s="63" t="s">
        <v>117</v>
      </c>
      <c r="R45" s="63" t="s">
        <v>116</v>
      </c>
      <c r="S45" s="64" t="str">
        <f>VLOOKUP(FindRates5[[#This Row],[FromCode]],$A$2:$B$14,2,FALSE)</f>
        <v>Sector D</v>
      </c>
      <c r="T45" s="65" t="str">
        <f>VLOOKUP(FindRates5[[#This Row],[Tocode]],$A$2:$B$14,2,FALSE)</f>
        <v>Medway</v>
      </c>
      <c r="U45" s="66"/>
    </row>
    <row r="46" spans="5:21" x14ac:dyDescent="0.2">
      <c r="H46" s="62" t="str">
        <f>FindRates5[[#This Row],[FromCode]]&amp;FindRates5[[#This Row],[Tocode]]</f>
        <v>DO</v>
      </c>
      <c r="I46" s="63" t="s">
        <v>56</v>
      </c>
      <c r="J46" s="63" t="s">
        <v>63</v>
      </c>
      <c r="K46" s="63">
        <v>0</v>
      </c>
      <c r="L46" s="63">
        <v>0</v>
      </c>
      <c r="M46" s="63">
        <v>0</v>
      </c>
      <c r="N46" s="63">
        <v>0</v>
      </c>
      <c r="O46" s="63">
        <v>1</v>
      </c>
      <c r="P46" s="63">
        <v>0</v>
      </c>
      <c r="Q46" s="63" t="s">
        <v>117</v>
      </c>
      <c r="R46" s="63" t="s">
        <v>119</v>
      </c>
      <c r="S46" s="64" t="str">
        <f>VLOOKUP(FindRates5[[#This Row],[FromCode]],$A$2:$B$14,2,FALSE)</f>
        <v>Sector D</v>
      </c>
      <c r="T46" s="65" t="str">
        <f>VLOOKUP(FindRates5[[#This Row],[Tocode]],$A$2:$B$14,2,FALSE)</f>
        <v>Oil Terminal</v>
      </c>
      <c r="U46" s="66"/>
    </row>
    <row r="47" spans="5:21" x14ac:dyDescent="0.2">
      <c r="H47" s="62" t="str">
        <f>FindRates5[[#This Row],[FromCode]]&amp;FindRates5[[#This Row],[Tocode]]</f>
        <v>DZ</v>
      </c>
      <c r="I47" s="63" t="s">
        <v>56</v>
      </c>
      <c r="J47" s="63" t="s">
        <v>63</v>
      </c>
      <c r="K47" s="63">
        <v>0</v>
      </c>
      <c r="L47" s="63">
        <v>0</v>
      </c>
      <c r="M47" s="63">
        <v>0</v>
      </c>
      <c r="N47" s="63">
        <v>0</v>
      </c>
      <c r="O47" s="63">
        <v>1</v>
      </c>
      <c r="P47" s="63">
        <v>1</v>
      </c>
      <c r="Q47" s="63" t="s">
        <v>117</v>
      </c>
      <c r="R47" s="63" t="s">
        <v>123</v>
      </c>
      <c r="S47" s="75" t="str">
        <f>VLOOKUP(FindRates5[[#This Row],[FromCode]],$A$2:$B$14,2,FALSE)</f>
        <v>Sector D</v>
      </c>
      <c r="T47" s="76" t="str">
        <f>VLOOKUP(FindRates5[[#This Row],[Tocode]],$A$2:$B$14,2,FALSE)</f>
        <v>Chapmans Anchor</v>
      </c>
      <c r="U47" s="87"/>
    </row>
    <row r="48" spans="5:21" x14ac:dyDescent="0.2">
      <c r="H48" s="62" t="s">
        <v>137</v>
      </c>
      <c r="I48" s="63" t="s">
        <v>40</v>
      </c>
      <c r="J48" s="63" t="s">
        <v>63</v>
      </c>
      <c r="K48" s="63">
        <v>1</v>
      </c>
      <c r="L48" s="63">
        <v>0</v>
      </c>
      <c r="M48" s="63">
        <v>0</v>
      </c>
      <c r="N48" s="63">
        <v>0</v>
      </c>
      <c r="O48" s="63">
        <v>1</v>
      </c>
      <c r="P48" s="63">
        <v>0</v>
      </c>
      <c r="Q48" s="63" t="s">
        <v>117</v>
      </c>
      <c r="R48" s="63" t="s">
        <v>104</v>
      </c>
      <c r="S48" s="64" t="str">
        <f>VLOOKUP(FindRates5[[#This Row],[FromCode]],$A$2:$B$14,2,FALSE)</f>
        <v>Sector D</v>
      </c>
      <c r="T48" s="65" t="str">
        <f>VLOOKUP(FindRates5[[#This Row],[Tocode]],$A$2:$B$14,2,FALSE)</f>
        <v>NE Spit</v>
      </c>
      <c r="U48" s="66"/>
    </row>
    <row r="49" spans="8:21" x14ac:dyDescent="0.2">
      <c r="H49" s="62" t="str">
        <f>FindRates5[[#This Row],[FromCode]]&amp;FindRates5[[#This Row],[Tocode]]</f>
        <v>DW</v>
      </c>
      <c r="I49" s="63" t="s">
        <v>50</v>
      </c>
      <c r="J49" s="63" t="s">
        <v>63</v>
      </c>
      <c r="K49" s="64">
        <v>0</v>
      </c>
      <c r="L49" s="64">
        <v>1</v>
      </c>
      <c r="M49" s="64">
        <v>0</v>
      </c>
      <c r="N49" s="64">
        <v>0</v>
      </c>
      <c r="O49" s="64">
        <v>1</v>
      </c>
      <c r="P49" s="63">
        <v>0</v>
      </c>
      <c r="Q49" s="74" t="s">
        <v>117</v>
      </c>
      <c r="R49" s="63" t="s">
        <v>113</v>
      </c>
      <c r="S49" s="64" t="str">
        <f>VLOOKUP(FindRates5[[#This Row],[FromCode]],$A$2:$B$14,2,FALSE)</f>
        <v>Sector D</v>
      </c>
      <c r="T49" s="65" t="str">
        <f>VLOOKUP(FindRates5[[#This Row],[Tocode]],$A$2:$B$14,2,FALSE)</f>
        <v>Warp</v>
      </c>
      <c r="U49" s="66"/>
    </row>
    <row r="50" spans="8:21" x14ac:dyDescent="0.2">
      <c r="H50" s="62" t="str">
        <f>FindRates5[[#This Row],[FromCode]]&amp;FindRates5[[#This Row],[Tocode]]</f>
        <v>GA</v>
      </c>
      <c r="I50" s="63" t="s">
        <v>106</v>
      </c>
      <c r="J50" s="63" t="s">
        <v>58</v>
      </c>
      <c r="K50" s="63">
        <v>0</v>
      </c>
      <c r="L50" s="63">
        <v>0</v>
      </c>
      <c r="M50" s="63">
        <v>0</v>
      </c>
      <c r="N50" s="63">
        <v>0</v>
      </c>
      <c r="O50" s="63">
        <v>1</v>
      </c>
      <c r="P50" s="64">
        <v>0</v>
      </c>
      <c r="Q50" s="63" t="s">
        <v>121</v>
      </c>
      <c r="R50" s="63" t="s">
        <v>108</v>
      </c>
      <c r="S50" s="64" t="str">
        <f>VLOOKUP(FindRates5[[#This Row],[FromCode]],$A$2:$B$14,2,FALSE)</f>
        <v>Gravesend</v>
      </c>
      <c r="T50" s="65" t="str">
        <f>VLOOKUP(FindRates5[[#This Row],[Tocode]],$A$2:$B$14,2,FALSE)</f>
        <v>Sector A</v>
      </c>
      <c r="U50" s="66"/>
    </row>
    <row r="51" spans="8:21" x14ac:dyDescent="0.2">
      <c r="H51" s="62" t="str">
        <f>FindRates5[[#This Row],[FromCode]]&amp;FindRates5[[#This Row],[Tocode]]</f>
        <v>GB</v>
      </c>
      <c r="I51" s="63" t="s">
        <v>106</v>
      </c>
      <c r="J51" s="63" t="s">
        <v>59</v>
      </c>
      <c r="K51" s="63">
        <v>0</v>
      </c>
      <c r="L51" s="63">
        <v>0</v>
      </c>
      <c r="M51" s="63">
        <v>0</v>
      </c>
      <c r="N51" s="63">
        <v>0</v>
      </c>
      <c r="O51" s="63">
        <v>1</v>
      </c>
      <c r="P51" s="64">
        <v>0</v>
      </c>
      <c r="Q51" s="63" t="s">
        <v>121</v>
      </c>
      <c r="R51" s="63" t="s">
        <v>111</v>
      </c>
      <c r="S51" s="64" t="str">
        <f>VLOOKUP(FindRates5[[#This Row],[FromCode]],$A$2:$B$14,2,FALSE)</f>
        <v>Gravesend</v>
      </c>
      <c r="T51" s="65" t="str">
        <f>VLOOKUP(FindRates5[[#This Row],[Tocode]],$A$2:$B$14,2,FALSE)</f>
        <v>Sector B</v>
      </c>
      <c r="U51" s="66"/>
    </row>
    <row r="52" spans="8:21" x14ac:dyDescent="0.2">
      <c r="H52" s="62" t="str">
        <f>FindRates5[[#This Row],[FromCode]]&amp;FindRates5[[#This Row],[Tocode]]</f>
        <v>GC</v>
      </c>
      <c r="I52" s="63" t="s">
        <v>106</v>
      </c>
      <c r="J52" s="63" t="s">
        <v>61</v>
      </c>
      <c r="K52" s="63">
        <v>0</v>
      </c>
      <c r="L52" s="63">
        <v>0</v>
      </c>
      <c r="M52" s="63">
        <v>0</v>
      </c>
      <c r="N52" s="63">
        <v>0</v>
      </c>
      <c r="O52" s="63">
        <v>1</v>
      </c>
      <c r="P52" s="64">
        <v>0</v>
      </c>
      <c r="Q52" s="63" t="s">
        <v>121</v>
      </c>
      <c r="R52" s="63" t="s">
        <v>115</v>
      </c>
      <c r="S52" s="64" t="str">
        <f>VLOOKUP(FindRates5[[#This Row],[FromCode]],$A$2:$B$14,2,FALSE)</f>
        <v>Gravesend</v>
      </c>
      <c r="T52" s="65" t="str">
        <f>VLOOKUP(FindRates5[[#This Row],[Tocode]],$A$2:$B$14,2,FALSE)</f>
        <v>Sector C</v>
      </c>
      <c r="U52" s="66"/>
    </row>
    <row r="53" spans="8:21" x14ac:dyDescent="0.2">
      <c r="H53" s="62" t="str">
        <f>FindRates5[[#This Row],[FromCode]]&amp;FindRates5[[#This Row],[Tocode]]</f>
        <v>GD</v>
      </c>
      <c r="I53" s="63" t="s">
        <v>106</v>
      </c>
      <c r="J53" s="63" t="s">
        <v>63</v>
      </c>
      <c r="K53" s="63">
        <v>0</v>
      </c>
      <c r="L53" s="63">
        <v>0</v>
      </c>
      <c r="M53" s="63">
        <v>0</v>
      </c>
      <c r="N53" s="63">
        <v>0</v>
      </c>
      <c r="O53" s="63">
        <v>1</v>
      </c>
      <c r="P53" s="64">
        <v>0</v>
      </c>
      <c r="Q53" s="63" t="s">
        <v>121</v>
      </c>
      <c r="R53" s="63" t="s">
        <v>117</v>
      </c>
      <c r="S53" s="64" t="str">
        <f>VLOOKUP(FindRates5[[#This Row],[FromCode]],$A$2:$B$14,2,FALSE)</f>
        <v>Gravesend</v>
      </c>
      <c r="T53" s="65" t="str">
        <f>VLOOKUP(FindRates5[[#This Row],[Tocode]],$A$2:$B$14,2,FALSE)</f>
        <v>Sector D</v>
      </c>
      <c r="U53" s="66"/>
    </row>
    <row r="54" spans="8:21" x14ac:dyDescent="0.2">
      <c r="H54" s="62" t="str">
        <f>FindRates5[[#This Row],[FromCode]]&amp;FindRates5[[#This Row],[Tocode]]</f>
        <v>GG</v>
      </c>
      <c r="I54" s="63" t="s">
        <v>106</v>
      </c>
      <c r="J54" s="63" t="s">
        <v>107</v>
      </c>
      <c r="K54" s="63">
        <v>0</v>
      </c>
      <c r="L54" s="63">
        <v>0</v>
      </c>
      <c r="M54" s="63">
        <v>0</v>
      </c>
      <c r="N54" s="63">
        <v>0</v>
      </c>
      <c r="O54" s="63">
        <v>0</v>
      </c>
      <c r="P54" s="64">
        <v>0</v>
      </c>
      <c r="Q54" s="63" t="s">
        <v>121</v>
      </c>
      <c r="R54" s="63" t="s">
        <v>121</v>
      </c>
      <c r="S54" s="64" t="str">
        <f>VLOOKUP(FindRates5[[#This Row],[FromCode]],$A$2:$B$14,2,FALSE)</f>
        <v>Gravesend</v>
      </c>
      <c r="T54" s="65" t="str">
        <f>VLOOKUP(FindRates5[[#This Row],[Tocode]],$A$2:$B$14,2,FALSE)</f>
        <v>Gravesend</v>
      </c>
      <c r="U54" s="66"/>
    </row>
    <row r="55" spans="8:21" x14ac:dyDescent="0.2">
      <c r="H55" s="62" t="str">
        <f>FindRates5[[#This Row],[FromCode]]&amp;FindRates5[[#This Row],[Tocode]]</f>
        <v>GT</v>
      </c>
      <c r="I55" s="63" t="s">
        <v>106</v>
      </c>
      <c r="J55" s="63" t="s">
        <v>107</v>
      </c>
      <c r="K55" s="63">
        <v>0</v>
      </c>
      <c r="L55" s="63">
        <v>0</v>
      </c>
      <c r="M55" s="63">
        <v>0</v>
      </c>
      <c r="N55" s="63">
        <v>0</v>
      </c>
      <c r="O55" s="63">
        <v>1</v>
      </c>
      <c r="P55" s="63">
        <v>0</v>
      </c>
      <c r="Q55" s="74" t="s">
        <v>121</v>
      </c>
      <c r="R55" s="74" t="s">
        <v>124</v>
      </c>
      <c r="S55" s="75" t="str">
        <f>VLOOKUP(FindRates5[[#This Row],[FromCode]],$A$2:$B$14,2,FALSE)</f>
        <v>Gravesend</v>
      </c>
      <c r="T55" s="76" t="str">
        <f>VLOOKUP(FindRates5[[#This Row],[Tocode]],$A$2:$B$14,2,FALSE)</f>
        <v>Tilbury2</v>
      </c>
      <c r="U55" s="66"/>
    </row>
    <row r="56" spans="8:21" x14ac:dyDescent="0.2">
      <c r="H56" s="62" t="s">
        <v>138</v>
      </c>
      <c r="I56" s="63" t="s">
        <v>45</v>
      </c>
      <c r="J56" s="63" t="s">
        <v>106</v>
      </c>
      <c r="K56" s="63">
        <v>0</v>
      </c>
      <c r="L56" s="63">
        <v>0</v>
      </c>
      <c r="M56" s="63">
        <v>0</v>
      </c>
      <c r="N56" s="63">
        <v>1</v>
      </c>
      <c r="O56" s="63">
        <v>1</v>
      </c>
      <c r="P56" s="64">
        <v>0</v>
      </c>
      <c r="Q56" s="63" t="s">
        <v>121</v>
      </c>
      <c r="R56" s="63" t="s">
        <v>109</v>
      </c>
      <c r="S56" s="64" t="str">
        <f>VLOOKUP(FindRates5[[#This Row],[FromCode]],$A$2:$B$14,2,FALSE)</f>
        <v>Gravesend</v>
      </c>
      <c r="T56" s="65" t="str">
        <f>VLOOKUP(FindRates5[[#This Row],[Tocode]],$A$2:$B$14,2,FALSE)</f>
        <v>Sunk</v>
      </c>
      <c r="U56" s="66"/>
    </row>
    <row r="57" spans="8:21" x14ac:dyDescent="0.2">
      <c r="H57" s="62" t="s">
        <v>139</v>
      </c>
      <c r="I57" s="63" t="s">
        <v>52</v>
      </c>
      <c r="J57" s="63" t="s">
        <v>106</v>
      </c>
      <c r="K57" s="63">
        <v>0</v>
      </c>
      <c r="L57" s="63">
        <v>0</v>
      </c>
      <c r="M57" s="80">
        <v>1</v>
      </c>
      <c r="N57" s="63">
        <v>0</v>
      </c>
      <c r="O57" s="63">
        <v>1</v>
      </c>
      <c r="P57" s="64">
        <v>0</v>
      </c>
      <c r="Q57" s="63" t="s">
        <v>121</v>
      </c>
      <c r="R57" s="63" t="s">
        <v>116</v>
      </c>
      <c r="S57" s="64" t="str">
        <f>VLOOKUP(FindRates5[[#This Row],[FromCode]],$A$2:$B$14,2,FALSE)</f>
        <v>Gravesend</v>
      </c>
      <c r="T57" s="65" t="str">
        <f>VLOOKUP(FindRates5[[#This Row],[Tocode]],$A$2:$B$14,2,FALSE)</f>
        <v>Medway</v>
      </c>
      <c r="U57" s="66"/>
    </row>
    <row r="58" spans="8:21" x14ac:dyDescent="0.2">
      <c r="H58" s="62" t="s">
        <v>140</v>
      </c>
      <c r="I58" s="63" t="s">
        <v>56</v>
      </c>
      <c r="J58" s="63" t="s">
        <v>106</v>
      </c>
      <c r="K58" s="63">
        <v>0</v>
      </c>
      <c r="L58" s="63">
        <v>0</v>
      </c>
      <c r="M58" s="63">
        <v>0</v>
      </c>
      <c r="N58" s="63">
        <v>0</v>
      </c>
      <c r="O58" s="63">
        <v>1</v>
      </c>
      <c r="P58" s="63">
        <v>0</v>
      </c>
      <c r="Q58" s="63" t="s">
        <v>121</v>
      </c>
      <c r="R58" s="63" t="s">
        <v>119</v>
      </c>
      <c r="S58" s="64" t="str">
        <f>VLOOKUP(FindRates5[[#This Row],[FromCode]],$A$2:$B$14,2,FALSE)</f>
        <v>Gravesend</v>
      </c>
      <c r="T58" s="65" t="str">
        <f>VLOOKUP(FindRates5[[#This Row],[Tocode]],$A$2:$B$14,2,FALSE)</f>
        <v>Oil Terminal</v>
      </c>
      <c r="U58" s="66"/>
    </row>
    <row r="59" spans="8:21" x14ac:dyDescent="0.2">
      <c r="H59" s="62" t="str">
        <f>FindRates5[[#This Row],[FromCode]]&amp;FindRates5[[#This Row],[Tocode]]</f>
        <v>GZ</v>
      </c>
      <c r="I59" s="63" t="s">
        <v>56</v>
      </c>
      <c r="J59" s="63" t="s">
        <v>106</v>
      </c>
      <c r="K59" s="63">
        <v>0</v>
      </c>
      <c r="L59" s="63">
        <v>0</v>
      </c>
      <c r="M59" s="63">
        <v>0</v>
      </c>
      <c r="N59" s="63">
        <v>0</v>
      </c>
      <c r="O59" s="63">
        <v>1</v>
      </c>
      <c r="P59" s="63">
        <v>1</v>
      </c>
      <c r="Q59" s="63" t="s">
        <v>121</v>
      </c>
      <c r="R59" s="63" t="s">
        <v>123</v>
      </c>
      <c r="S59" s="75" t="str">
        <f>VLOOKUP(FindRates5[[#This Row],[FromCode]],$A$2:$B$14,2,FALSE)</f>
        <v>Gravesend</v>
      </c>
      <c r="T59" s="76" t="str">
        <f>VLOOKUP(FindRates5[[#This Row],[Tocode]],$A$2:$B$14,2,FALSE)</f>
        <v>Chapmans Anchor</v>
      </c>
      <c r="U59" s="87"/>
    </row>
    <row r="60" spans="8:21" x14ac:dyDescent="0.2">
      <c r="H60" s="62" t="s">
        <v>141</v>
      </c>
      <c r="I60" s="63" t="s">
        <v>40</v>
      </c>
      <c r="J60" s="63" t="s">
        <v>106</v>
      </c>
      <c r="K60" s="63">
        <v>1</v>
      </c>
      <c r="L60" s="63">
        <v>0</v>
      </c>
      <c r="M60" s="63">
        <v>0</v>
      </c>
      <c r="N60" s="63">
        <v>0</v>
      </c>
      <c r="O60" s="63">
        <v>1</v>
      </c>
      <c r="P60" s="63">
        <v>0</v>
      </c>
      <c r="Q60" s="63" t="s">
        <v>121</v>
      </c>
      <c r="R60" s="63" t="s">
        <v>104</v>
      </c>
      <c r="S60" s="64" t="str">
        <f>VLOOKUP(FindRates5[[#This Row],[FromCode]],$A$2:$B$14,2,FALSE)</f>
        <v>Gravesend</v>
      </c>
      <c r="T60" s="65" t="str">
        <f>VLOOKUP(FindRates5[[#This Row],[Tocode]],$A$2:$B$14,2,FALSE)</f>
        <v>NE Spit</v>
      </c>
      <c r="U60" s="66"/>
    </row>
    <row r="61" spans="8:21" x14ac:dyDescent="0.2">
      <c r="H61" s="62" t="str">
        <f>FindRates5[[#This Row],[FromCode]]&amp;FindRates5[[#This Row],[Tocode]]</f>
        <v>GW</v>
      </c>
      <c r="I61" s="63" t="s">
        <v>50</v>
      </c>
      <c r="J61" s="63" t="s">
        <v>106</v>
      </c>
      <c r="K61" s="63">
        <v>0</v>
      </c>
      <c r="L61" s="63">
        <v>1</v>
      </c>
      <c r="M61" s="63">
        <v>0</v>
      </c>
      <c r="N61" s="63">
        <v>0</v>
      </c>
      <c r="O61" s="63">
        <v>1</v>
      </c>
      <c r="P61" s="63">
        <v>0</v>
      </c>
      <c r="Q61" s="63" t="s">
        <v>121</v>
      </c>
      <c r="R61" s="63" t="s">
        <v>113</v>
      </c>
      <c r="S61" s="64" t="str">
        <f>VLOOKUP(FindRates5[[#This Row],[FromCode]],$A$2:$B$14,2,FALSE)</f>
        <v>Gravesend</v>
      </c>
      <c r="T61" s="65" t="str">
        <f>VLOOKUP(FindRates5[[#This Row],[Tocode]],$A$2:$B$14,2,FALSE)</f>
        <v>Warp</v>
      </c>
      <c r="U61" s="66"/>
    </row>
    <row r="62" spans="8:21" x14ac:dyDescent="0.2">
      <c r="H62" s="62" t="str">
        <f>FindRates5[[#This Row],[FromCode]]&amp;FindRates5[[#This Row],[Tocode]]</f>
        <v>HA</v>
      </c>
      <c r="I62" s="63" t="s">
        <v>46</v>
      </c>
      <c r="J62" s="63" t="s">
        <v>106</v>
      </c>
      <c r="K62" s="63">
        <v>0</v>
      </c>
      <c r="L62" s="63">
        <v>0</v>
      </c>
      <c r="M62" s="63">
        <v>0</v>
      </c>
      <c r="N62" s="63">
        <v>1</v>
      </c>
      <c r="O62" s="79">
        <v>1</v>
      </c>
      <c r="P62" s="64">
        <v>0</v>
      </c>
      <c r="Q62" s="63" t="s">
        <v>109</v>
      </c>
      <c r="R62" s="63" t="s">
        <v>108</v>
      </c>
      <c r="S62" s="64" t="str">
        <f>VLOOKUP(FindRates5[[#This Row],[FromCode]],$A$2:$B$14,2,FALSE)</f>
        <v>Sunk</v>
      </c>
      <c r="T62" s="65" t="str">
        <f>VLOOKUP(FindRates5[[#This Row],[Tocode]],$A$2:$B$14,2,FALSE)</f>
        <v>Sector A</v>
      </c>
      <c r="U62" s="77" t="str">
        <f>IF(AND(FindRates5[[#This Row],[BLGSND]]&gt;0,$F$6="YES"),"B&amp;L Gravesend may not be charged if a Through Pilot is available.","")</f>
        <v/>
      </c>
    </row>
    <row r="63" spans="8:21" x14ac:dyDescent="0.2">
      <c r="H63" s="62" t="str">
        <f>FindRates5[[#This Row],[FromCode]]&amp;FindRates5[[#This Row],[Tocode]]</f>
        <v>HB</v>
      </c>
      <c r="I63" s="63" t="s">
        <v>45</v>
      </c>
      <c r="J63" s="63" t="s">
        <v>59</v>
      </c>
      <c r="K63" s="63">
        <v>0</v>
      </c>
      <c r="L63" s="63">
        <v>0</v>
      </c>
      <c r="M63" s="63">
        <v>0</v>
      </c>
      <c r="N63" s="63">
        <v>1</v>
      </c>
      <c r="O63" s="63">
        <v>1</v>
      </c>
      <c r="P63" s="64">
        <v>0</v>
      </c>
      <c r="Q63" s="63" t="s">
        <v>109</v>
      </c>
      <c r="R63" s="63" t="s">
        <v>111</v>
      </c>
      <c r="S63" s="64" t="str">
        <f>VLOOKUP(FindRates5[[#This Row],[FromCode]],$A$2:$B$14,2,FALSE)</f>
        <v>Sunk</v>
      </c>
      <c r="T63" s="65" t="str">
        <f>VLOOKUP(FindRates5[[#This Row],[Tocode]],$A$2:$B$14,2,FALSE)</f>
        <v>Sector B</v>
      </c>
      <c r="U63" s="66"/>
    </row>
    <row r="64" spans="8:21" x14ac:dyDescent="0.2">
      <c r="H64" s="62" t="str">
        <f>FindRates5[[#This Row],[FromCode]]&amp;FindRates5[[#This Row],[Tocode]]</f>
        <v>HC</v>
      </c>
      <c r="I64" s="63" t="s">
        <v>45</v>
      </c>
      <c r="J64" s="63" t="s">
        <v>61</v>
      </c>
      <c r="K64" s="63">
        <v>0</v>
      </c>
      <c r="L64" s="63">
        <v>0</v>
      </c>
      <c r="M64" s="63">
        <v>0</v>
      </c>
      <c r="N64" s="63">
        <v>1</v>
      </c>
      <c r="O64" s="63">
        <v>1</v>
      </c>
      <c r="P64" s="64">
        <v>0</v>
      </c>
      <c r="Q64" s="63" t="s">
        <v>109</v>
      </c>
      <c r="R64" s="63" t="s">
        <v>115</v>
      </c>
      <c r="S64" s="64" t="str">
        <f>VLOOKUP(FindRates5[[#This Row],[FromCode]],$A$2:$B$14,2,FALSE)</f>
        <v>Sunk</v>
      </c>
      <c r="T64" s="65" t="str">
        <f>VLOOKUP(FindRates5[[#This Row],[Tocode]],$A$2:$B$14,2,FALSE)</f>
        <v>Sector C</v>
      </c>
      <c r="U64" s="66"/>
    </row>
    <row r="65" spans="3:21" x14ac:dyDescent="0.2">
      <c r="H65" s="62" t="str">
        <f>FindRates5[[#This Row],[FromCode]]&amp;FindRates5[[#This Row],[Tocode]]</f>
        <v>HD</v>
      </c>
      <c r="I65" s="63" t="s">
        <v>45</v>
      </c>
      <c r="J65" s="63" t="s">
        <v>63</v>
      </c>
      <c r="K65" s="64">
        <v>0</v>
      </c>
      <c r="L65" s="64">
        <v>0</v>
      </c>
      <c r="M65" s="64">
        <v>0</v>
      </c>
      <c r="N65" s="64">
        <v>1</v>
      </c>
      <c r="O65" s="64">
        <v>1</v>
      </c>
      <c r="P65" s="64">
        <v>0</v>
      </c>
      <c r="Q65" s="74" t="s">
        <v>109</v>
      </c>
      <c r="R65" s="74" t="s">
        <v>117</v>
      </c>
      <c r="S65" s="64" t="str">
        <f>VLOOKUP(FindRates5[[#This Row],[FromCode]],$A$2:$B$14,2,FALSE)</f>
        <v>Sunk</v>
      </c>
      <c r="T65" s="65" t="str">
        <f>VLOOKUP(FindRates5[[#This Row],[Tocode]],$A$2:$B$14,2,FALSE)</f>
        <v>Sector D</v>
      </c>
      <c r="U65" s="66"/>
    </row>
    <row r="66" spans="3:21" x14ac:dyDescent="0.2">
      <c r="H66" s="62" t="str">
        <f>FindRates5[[#This Row],[FromCode]]&amp;FindRates5[[#This Row],[Tocode]]</f>
        <v>HG</v>
      </c>
      <c r="I66" s="63" t="s">
        <v>45</v>
      </c>
      <c r="J66" s="63" t="s">
        <v>106</v>
      </c>
      <c r="K66" s="63">
        <v>0</v>
      </c>
      <c r="L66" s="63">
        <v>0</v>
      </c>
      <c r="M66" s="63">
        <v>0</v>
      </c>
      <c r="N66" s="63">
        <v>1</v>
      </c>
      <c r="O66" s="63">
        <v>1</v>
      </c>
      <c r="P66" s="64">
        <v>0</v>
      </c>
      <c r="Q66" s="63" t="s">
        <v>109</v>
      </c>
      <c r="R66" s="63" t="s">
        <v>121</v>
      </c>
      <c r="S66" s="64" t="str">
        <f>VLOOKUP(FindRates5[[#This Row],[FromCode]],$A$2:$B$14,2,FALSE)</f>
        <v>Sunk</v>
      </c>
      <c r="T66" s="65" t="str">
        <f>VLOOKUP(FindRates5[[#This Row],[Tocode]],$A$2:$B$14,2,FALSE)</f>
        <v>Gravesend</v>
      </c>
      <c r="U66" s="66"/>
    </row>
    <row r="67" spans="3:21" x14ac:dyDescent="0.2">
      <c r="H67" s="62" t="str">
        <f>FindRates5[[#This Row],[FromCode]]&amp;FindRates5[[#This Row],[Tocode]]</f>
        <v>HT</v>
      </c>
      <c r="I67" s="63" t="s">
        <v>45</v>
      </c>
      <c r="J67" s="63" t="s">
        <v>106</v>
      </c>
      <c r="K67" s="63">
        <v>0</v>
      </c>
      <c r="L67" s="63">
        <v>0</v>
      </c>
      <c r="M67" s="63">
        <v>0</v>
      </c>
      <c r="N67" s="63">
        <v>1</v>
      </c>
      <c r="O67" s="63">
        <v>0</v>
      </c>
      <c r="P67" s="63">
        <v>0</v>
      </c>
      <c r="Q67" s="74" t="s">
        <v>109</v>
      </c>
      <c r="R67" s="74" t="s">
        <v>124</v>
      </c>
      <c r="S67" s="75" t="str">
        <f>VLOOKUP(FindRates5[[#This Row],[FromCode]],$A$2:$B$14,2,FALSE)</f>
        <v>Sunk</v>
      </c>
      <c r="T67" s="76" t="str">
        <f>VLOOKUP(FindRates5[[#This Row],[Tocode]],$A$2:$B$14,2,FALSE)</f>
        <v>Tilbury2</v>
      </c>
      <c r="U67" s="66"/>
    </row>
    <row r="68" spans="3:21" x14ac:dyDescent="0.2">
      <c r="H68" s="62" t="str">
        <f>FindRates5[[#This Row],[FromCode]]&amp;FindRates5[[#This Row],[Tocode]]</f>
        <v>HH</v>
      </c>
      <c r="I68" s="63" t="s">
        <v>107</v>
      </c>
      <c r="J68" s="63" t="s">
        <v>106</v>
      </c>
      <c r="K68" s="63">
        <v>0</v>
      </c>
      <c r="L68" s="63">
        <v>0</v>
      </c>
      <c r="M68" s="63">
        <v>0</v>
      </c>
      <c r="N68" s="63">
        <v>2</v>
      </c>
      <c r="O68" s="63">
        <v>0</v>
      </c>
      <c r="P68" s="64">
        <v>0</v>
      </c>
      <c r="Q68" s="63" t="s">
        <v>109</v>
      </c>
      <c r="R68" s="63" t="s">
        <v>109</v>
      </c>
      <c r="S68" s="64" t="str">
        <f>VLOOKUP(FindRates5[[#This Row],[FromCode]],$A$2:$B$14,2,FALSE)</f>
        <v>Sunk</v>
      </c>
      <c r="T68" s="65" t="str">
        <f>VLOOKUP(FindRates5[[#This Row],[Tocode]],$A$2:$B$14,2,FALSE)</f>
        <v>Sunk</v>
      </c>
      <c r="U68" s="66"/>
    </row>
    <row r="69" spans="3:21" x14ac:dyDescent="0.2">
      <c r="H69" s="62" t="str">
        <f>FindRates5[[#This Row],[FromCode]]&amp;FindRates5[[#This Row],[Tocode]]</f>
        <v>HM</v>
      </c>
      <c r="I69" s="63" t="s">
        <v>43</v>
      </c>
      <c r="J69" s="63" t="s">
        <v>106</v>
      </c>
      <c r="K69" s="63">
        <v>0</v>
      </c>
      <c r="L69" s="63">
        <v>0</v>
      </c>
      <c r="M69" s="80">
        <v>1</v>
      </c>
      <c r="N69" s="63">
        <v>1</v>
      </c>
      <c r="O69" s="63">
        <v>0</v>
      </c>
      <c r="P69" s="64">
        <v>0</v>
      </c>
      <c r="Q69" s="63" t="s">
        <v>109</v>
      </c>
      <c r="R69" s="63" t="s">
        <v>116</v>
      </c>
      <c r="S69" s="64" t="str">
        <f>VLOOKUP(FindRates5[[#This Row],[FromCode]],$A$2:$B$14,2,FALSE)</f>
        <v>Sunk</v>
      </c>
      <c r="T69" s="65" t="str">
        <f>VLOOKUP(FindRates5[[#This Row],[Tocode]],$A$2:$B$14,2,FALSE)</f>
        <v>Medway</v>
      </c>
      <c r="U69" s="66"/>
    </row>
    <row r="70" spans="3:21" x14ac:dyDescent="0.2">
      <c r="F70" s="31"/>
      <c r="H70" s="62" t="str">
        <f>FindRates5[[#This Row],[FromCode]]&amp;FindRates5[[#This Row],[Tocode]]</f>
        <v>HO</v>
      </c>
      <c r="I70" s="63" t="s">
        <v>43</v>
      </c>
      <c r="J70" s="63" t="s">
        <v>106</v>
      </c>
      <c r="K70" s="63">
        <v>0</v>
      </c>
      <c r="L70" s="63">
        <v>0</v>
      </c>
      <c r="M70" s="63">
        <v>0</v>
      </c>
      <c r="N70" s="63">
        <v>1</v>
      </c>
      <c r="O70" s="63">
        <v>0</v>
      </c>
      <c r="P70" s="63">
        <v>0</v>
      </c>
      <c r="Q70" s="63" t="s">
        <v>109</v>
      </c>
      <c r="R70" s="63" t="s">
        <v>119</v>
      </c>
      <c r="S70" s="64" t="str">
        <f>VLOOKUP(FindRates5[[#This Row],[FromCode]],$A$2:$B$14,2,FALSE)</f>
        <v>Sunk</v>
      </c>
      <c r="T70" s="65" t="str">
        <f>VLOOKUP(FindRates5[[#This Row],[Tocode]],$A$2:$B$14,2,FALSE)</f>
        <v>Oil Terminal</v>
      </c>
      <c r="U70" s="66"/>
    </row>
    <row r="71" spans="3:21" x14ac:dyDescent="0.2">
      <c r="C71" s="89"/>
      <c r="H71" s="62" t="str">
        <f>FindRates5[[#This Row],[FromCode]]&amp;FindRates5[[#This Row],[Tocode]]</f>
        <v>HZ</v>
      </c>
      <c r="I71" s="63" t="s">
        <v>43</v>
      </c>
      <c r="J71" s="63" t="s">
        <v>106</v>
      </c>
      <c r="K71" s="63">
        <v>0</v>
      </c>
      <c r="L71" s="63">
        <v>0</v>
      </c>
      <c r="M71" s="63">
        <v>0</v>
      </c>
      <c r="N71" s="63">
        <v>1</v>
      </c>
      <c r="O71" s="63">
        <v>0</v>
      </c>
      <c r="P71" s="63">
        <v>1</v>
      </c>
      <c r="Q71" s="63" t="s">
        <v>109</v>
      </c>
      <c r="R71" s="63" t="s">
        <v>123</v>
      </c>
      <c r="S71" s="75" t="str">
        <f>VLOOKUP(FindRates5[[#This Row],[FromCode]],$A$2:$B$14,2,FALSE)</f>
        <v>Sunk</v>
      </c>
      <c r="T71" s="76" t="str">
        <f>VLOOKUP(FindRates5[[#This Row],[Tocode]],$A$2:$B$14,2,FALSE)</f>
        <v>Chapmans Anchor</v>
      </c>
      <c r="U71" s="87"/>
    </row>
    <row r="72" spans="3:21" x14ac:dyDescent="0.2">
      <c r="H72" s="62" t="str">
        <f>FindRates5[[#This Row],[FromCode]]&amp;FindRates5[[#This Row],[Tocode]]</f>
        <v>HR</v>
      </c>
      <c r="I72" s="63" t="s">
        <v>107</v>
      </c>
      <c r="J72" s="63" t="s">
        <v>106</v>
      </c>
      <c r="K72" s="63">
        <v>1</v>
      </c>
      <c r="L72" s="63">
        <v>0</v>
      </c>
      <c r="M72" s="63">
        <v>0</v>
      </c>
      <c r="N72" s="63">
        <v>1</v>
      </c>
      <c r="O72" s="63">
        <v>0</v>
      </c>
      <c r="P72" s="63">
        <v>0</v>
      </c>
      <c r="Q72" s="63" t="s">
        <v>109</v>
      </c>
      <c r="R72" s="63" t="s">
        <v>104</v>
      </c>
      <c r="S72" s="64" t="str">
        <f>VLOOKUP(FindRates5[[#This Row],[FromCode]],$A$2:$B$14,2,FALSE)</f>
        <v>Sunk</v>
      </c>
      <c r="T72" s="65" t="str">
        <f>VLOOKUP(FindRates5[[#This Row],[Tocode]],$A$2:$B$14,2,FALSE)</f>
        <v>NE Spit</v>
      </c>
      <c r="U72" s="66"/>
    </row>
    <row r="73" spans="3:21" x14ac:dyDescent="0.2">
      <c r="H73" s="62" t="str">
        <f>FindRates5[[#This Row],[FromCode]]&amp;FindRates5[[#This Row],[Tocode]]</f>
        <v>HW</v>
      </c>
      <c r="I73" s="63" t="s">
        <v>44</v>
      </c>
      <c r="J73" s="63" t="s">
        <v>106</v>
      </c>
      <c r="K73" s="63">
        <v>0</v>
      </c>
      <c r="L73" s="63">
        <v>1</v>
      </c>
      <c r="M73" s="63">
        <v>0</v>
      </c>
      <c r="N73" s="63">
        <v>1</v>
      </c>
      <c r="O73" s="63">
        <v>0</v>
      </c>
      <c r="P73" s="63">
        <v>0</v>
      </c>
      <c r="Q73" s="63" t="s">
        <v>109</v>
      </c>
      <c r="R73" s="63" t="s">
        <v>113</v>
      </c>
      <c r="S73" s="64" t="str">
        <f>VLOOKUP(FindRates5[[#This Row],[FromCode]],$A$2:$B$14,2,FALSE)</f>
        <v>Sunk</v>
      </c>
      <c r="T73" s="65" t="str">
        <f>VLOOKUP(FindRates5[[#This Row],[Tocode]],$A$2:$B$14,2,FALSE)</f>
        <v>Warp</v>
      </c>
      <c r="U73" s="66"/>
    </row>
    <row r="74" spans="3:21" x14ac:dyDescent="0.2">
      <c r="H74" s="62" t="str">
        <f>FindRates5[[#This Row],[FromCode]]&amp;FindRates5[[#This Row],[Tocode]]</f>
        <v>MA</v>
      </c>
      <c r="I74" s="63" t="s">
        <v>53</v>
      </c>
      <c r="J74" s="63" t="s">
        <v>106</v>
      </c>
      <c r="K74" s="63">
        <v>0</v>
      </c>
      <c r="L74" s="63">
        <v>0</v>
      </c>
      <c r="M74" s="80">
        <v>1</v>
      </c>
      <c r="N74" s="63">
        <v>0</v>
      </c>
      <c r="O74" s="79">
        <v>1</v>
      </c>
      <c r="P74" s="64">
        <v>0</v>
      </c>
      <c r="Q74" s="63" t="s">
        <v>116</v>
      </c>
      <c r="R74" s="63" t="s">
        <v>108</v>
      </c>
      <c r="S74" s="64" t="str">
        <f>VLOOKUP(FindRates5[[#This Row],[FromCode]],$A$2:$B$14,2,FALSE)</f>
        <v>Medway</v>
      </c>
      <c r="T74" s="65" t="str">
        <f>VLOOKUP(FindRates5[[#This Row],[Tocode]],$A$2:$B$14,2,FALSE)</f>
        <v>Sector A</v>
      </c>
      <c r="U74" s="77" t="str">
        <f>IF(AND(FindRates5[[#This Row],[BLGSND]]&gt;0,$F$6="YES"),"B&amp;L Gravesend may not be charged if a Through Pilot is available.","")</f>
        <v/>
      </c>
    </row>
    <row r="75" spans="3:21" x14ac:dyDescent="0.2">
      <c r="H75" s="62" t="str">
        <f>FindRates5[[#This Row],[FromCode]]&amp;FindRates5[[#This Row],[Tocode]]</f>
        <v>MB</v>
      </c>
      <c r="I75" s="63" t="s">
        <v>52</v>
      </c>
      <c r="J75" s="63" t="s">
        <v>59</v>
      </c>
      <c r="K75" s="63">
        <v>0</v>
      </c>
      <c r="L75" s="63">
        <v>0</v>
      </c>
      <c r="M75" s="80">
        <v>1</v>
      </c>
      <c r="N75" s="63">
        <v>0</v>
      </c>
      <c r="O75" s="63">
        <v>1</v>
      </c>
      <c r="P75" s="64">
        <v>0</v>
      </c>
      <c r="Q75" s="63" t="s">
        <v>116</v>
      </c>
      <c r="R75" s="63" t="s">
        <v>111</v>
      </c>
      <c r="S75" s="64" t="str">
        <f>VLOOKUP(FindRates5[[#This Row],[FromCode]],$A$2:$B$14,2,FALSE)</f>
        <v>Medway</v>
      </c>
      <c r="T75" s="65" t="str">
        <f>VLOOKUP(FindRates5[[#This Row],[Tocode]],$A$2:$B$14,2,FALSE)</f>
        <v>Sector B</v>
      </c>
      <c r="U75" s="66"/>
    </row>
    <row r="76" spans="3:21" x14ac:dyDescent="0.2">
      <c r="H76" s="62" t="str">
        <f>FindRates5[[#This Row],[FromCode]]&amp;FindRates5[[#This Row],[Tocode]]</f>
        <v>MC</v>
      </c>
      <c r="I76" s="63" t="s">
        <v>52</v>
      </c>
      <c r="J76" s="63" t="s">
        <v>61</v>
      </c>
      <c r="K76" s="63">
        <v>0</v>
      </c>
      <c r="L76" s="63">
        <v>0</v>
      </c>
      <c r="M76" s="80">
        <v>1</v>
      </c>
      <c r="N76" s="63">
        <v>0</v>
      </c>
      <c r="O76" s="63">
        <v>1</v>
      </c>
      <c r="P76" s="64">
        <v>0</v>
      </c>
      <c r="Q76" s="63" t="s">
        <v>116</v>
      </c>
      <c r="R76" s="63" t="s">
        <v>115</v>
      </c>
      <c r="S76" s="64" t="str">
        <f>VLOOKUP(FindRates5[[#This Row],[FromCode]],$A$2:$B$14,2,FALSE)</f>
        <v>Medway</v>
      </c>
      <c r="T76" s="65" t="str">
        <f>VLOOKUP(FindRates5[[#This Row],[Tocode]],$A$2:$B$14,2,FALSE)</f>
        <v>Sector C</v>
      </c>
      <c r="U76" s="66"/>
    </row>
    <row r="77" spans="3:21" x14ac:dyDescent="0.2">
      <c r="H77" s="62" t="str">
        <f>FindRates5[[#This Row],[FromCode]]&amp;FindRates5[[#This Row],[Tocode]]</f>
        <v>MD</v>
      </c>
      <c r="I77" s="63" t="s">
        <v>52</v>
      </c>
      <c r="J77" s="63" t="s">
        <v>63</v>
      </c>
      <c r="K77" s="63">
        <v>0</v>
      </c>
      <c r="L77" s="63">
        <v>0</v>
      </c>
      <c r="M77" s="80">
        <v>1</v>
      </c>
      <c r="N77" s="63">
        <v>0</v>
      </c>
      <c r="O77" s="63">
        <v>1</v>
      </c>
      <c r="P77" s="64">
        <v>0</v>
      </c>
      <c r="Q77" s="63" t="s">
        <v>116</v>
      </c>
      <c r="R77" s="63" t="s">
        <v>117</v>
      </c>
      <c r="S77" s="64" t="str">
        <f>VLOOKUP(FindRates5[[#This Row],[FromCode]],$A$2:$B$14,2,FALSE)</f>
        <v>Medway</v>
      </c>
      <c r="T77" s="65" t="str">
        <f>VLOOKUP(FindRates5[[#This Row],[Tocode]],$A$2:$B$14,2,FALSE)</f>
        <v>Sector D</v>
      </c>
      <c r="U77" s="66"/>
    </row>
    <row r="78" spans="3:21" x14ac:dyDescent="0.2">
      <c r="H78" s="62" t="str">
        <f>FindRates5[[#This Row],[FromCode]]&amp;FindRates5[[#This Row],[Tocode]]</f>
        <v>MG</v>
      </c>
      <c r="I78" s="63" t="s">
        <v>52</v>
      </c>
      <c r="J78" s="63" t="s">
        <v>106</v>
      </c>
      <c r="K78" s="63">
        <v>0</v>
      </c>
      <c r="L78" s="63">
        <v>0</v>
      </c>
      <c r="M78" s="80">
        <v>1</v>
      </c>
      <c r="N78" s="63">
        <v>0</v>
      </c>
      <c r="O78" s="63">
        <v>1</v>
      </c>
      <c r="P78" s="64">
        <v>0</v>
      </c>
      <c r="Q78" s="63" t="s">
        <v>116</v>
      </c>
      <c r="R78" s="63" t="s">
        <v>121</v>
      </c>
      <c r="S78" s="64" t="str">
        <f>VLOOKUP(FindRates5[[#This Row],[FromCode]],$A$2:$B$14,2,FALSE)</f>
        <v>Medway</v>
      </c>
      <c r="T78" s="65" t="str">
        <f>VLOOKUP(FindRates5[[#This Row],[Tocode]],$A$2:$B$14,2,FALSE)</f>
        <v>Gravesend</v>
      </c>
      <c r="U78" s="66"/>
    </row>
    <row r="79" spans="3:21" x14ac:dyDescent="0.2">
      <c r="H79" s="62" t="str">
        <f>FindRates5[[#This Row],[FromCode]]&amp;FindRates5[[#This Row],[Tocode]]</f>
        <v>MT</v>
      </c>
      <c r="I79" s="63" t="s">
        <v>52</v>
      </c>
      <c r="J79" s="63" t="s">
        <v>106</v>
      </c>
      <c r="K79" s="63">
        <v>0</v>
      </c>
      <c r="L79" s="63">
        <v>0</v>
      </c>
      <c r="M79" s="80">
        <v>1</v>
      </c>
      <c r="N79" s="63">
        <v>0</v>
      </c>
      <c r="O79" s="63">
        <v>0</v>
      </c>
      <c r="P79" s="63">
        <v>0</v>
      </c>
      <c r="Q79" s="74" t="s">
        <v>116</v>
      </c>
      <c r="R79" s="74" t="s">
        <v>124</v>
      </c>
      <c r="S79" s="75" t="str">
        <f>VLOOKUP(FindRates5[[#This Row],[FromCode]],$A$2:$B$14,2,FALSE)</f>
        <v>Medway</v>
      </c>
      <c r="T79" s="76" t="str">
        <f>VLOOKUP(FindRates5[[#This Row],[Tocode]],$A$2:$B$14,2,FALSE)</f>
        <v>Tilbury2</v>
      </c>
      <c r="U79" s="66"/>
    </row>
    <row r="80" spans="3:21" x14ac:dyDescent="0.2">
      <c r="H80" s="62" t="s">
        <v>142</v>
      </c>
      <c r="I80" s="63" t="s">
        <v>43</v>
      </c>
      <c r="J80" s="63" t="s">
        <v>106</v>
      </c>
      <c r="K80" s="63">
        <v>0</v>
      </c>
      <c r="L80" s="63">
        <v>0</v>
      </c>
      <c r="M80" s="80">
        <v>1</v>
      </c>
      <c r="N80" s="63">
        <v>1</v>
      </c>
      <c r="O80" s="63">
        <v>0</v>
      </c>
      <c r="P80" s="64">
        <v>0</v>
      </c>
      <c r="Q80" s="63" t="s">
        <v>116</v>
      </c>
      <c r="R80" s="63" t="s">
        <v>109</v>
      </c>
      <c r="S80" s="64" t="str">
        <f>VLOOKUP(FindRates5[[#This Row],[FromCode]],$A$2:$B$14,2,FALSE)</f>
        <v>Medway</v>
      </c>
      <c r="T80" s="65" t="str">
        <f>VLOOKUP(FindRates5[[#This Row],[Tocode]],$A$2:$B$14,2,FALSE)</f>
        <v>Sunk</v>
      </c>
      <c r="U80" s="66"/>
    </row>
    <row r="81" spans="5:21" x14ac:dyDescent="0.2">
      <c r="E81" s="90"/>
      <c r="F81" s="4"/>
      <c r="G81" s="4"/>
      <c r="H81" s="62" t="str">
        <f>FindRates5[[#This Row],[FromCode]]&amp;FindRates5[[#This Row],[Tocode]]</f>
        <v>MM</v>
      </c>
      <c r="I81" s="63" t="s">
        <v>107</v>
      </c>
      <c r="J81" s="63" t="s">
        <v>106</v>
      </c>
      <c r="K81" s="63">
        <v>0</v>
      </c>
      <c r="L81" s="63">
        <v>0</v>
      </c>
      <c r="M81" s="80">
        <v>2</v>
      </c>
      <c r="N81" s="63">
        <v>0</v>
      </c>
      <c r="O81" s="63">
        <v>0</v>
      </c>
      <c r="P81" s="64">
        <v>0</v>
      </c>
      <c r="Q81" s="63" t="s">
        <v>116</v>
      </c>
      <c r="R81" s="63" t="s">
        <v>116</v>
      </c>
      <c r="S81" s="64" t="str">
        <f>VLOOKUP(FindRates5[[#This Row],[FromCode]],$A$2:$B$14,2,FALSE)</f>
        <v>Medway</v>
      </c>
      <c r="T81" s="65" t="str">
        <f>VLOOKUP(FindRates5[[#This Row],[Tocode]],$A$2:$B$14,2,FALSE)</f>
        <v>Medway</v>
      </c>
      <c r="U81" s="66"/>
    </row>
    <row r="82" spans="5:21" x14ac:dyDescent="0.2">
      <c r="E82" s="90"/>
      <c r="F82" s="4"/>
      <c r="G82" s="4"/>
      <c r="H82" s="62" t="str">
        <f>FindRates5[[#This Row],[FromCode]]&amp;FindRates5[[#This Row],[Tocode]]</f>
        <v>MO</v>
      </c>
      <c r="I82" s="63" t="s">
        <v>54</v>
      </c>
      <c r="J82" s="63" t="s">
        <v>106</v>
      </c>
      <c r="K82" s="63">
        <v>0</v>
      </c>
      <c r="L82" s="63">
        <v>0</v>
      </c>
      <c r="M82" s="80">
        <v>1</v>
      </c>
      <c r="N82" s="63">
        <v>0</v>
      </c>
      <c r="O82" s="63">
        <v>0</v>
      </c>
      <c r="P82" s="63">
        <v>0</v>
      </c>
      <c r="Q82" s="63" t="s">
        <v>116</v>
      </c>
      <c r="R82" s="63" t="s">
        <v>119</v>
      </c>
      <c r="S82" s="64" t="str">
        <f>VLOOKUP(FindRates5[[#This Row],[FromCode]],$A$2:$B$14,2,FALSE)</f>
        <v>Medway</v>
      </c>
      <c r="T82" s="65" t="str">
        <f>VLOOKUP(FindRates5[[#This Row],[Tocode]],$A$2:$B$14,2,FALSE)</f>
        <v>Oil Terminal</v>
      </c>
      <c r="U82" s="66"/>
    </row>
    <row r="83" spans="5:21" x14ac:dyDescent="0.2">
      <c r="E83" s="90"/>
      <c r="F83" s="4"/>
      <c r="G83" s="4"/>
      <c r="H83" s="62" t="str">
        <f>FindRates5[[#This Row],[FromCode]]&amp;FindRates5[[#This Row],[Tocode]]</f>
        <v>MZ</v>
      </c>
      <c r="I83" s="63" t="s">
        <v>54</v>
      </c>
      <c r="J83" s="63" t="s">
        <v>106</v>
      </c>
      <c r="K83" s="63">
        <v>0</v>
      </c>
      <c r="L83" s="63">
        <v>0</v>
      </c>
      <c r="M83" s="80">
        <v>1</v>
      </c>
      <c r="N83" s="63">
        <v>0</v>
      </c>
      <c r="O83" s="63">
        <v>0</v>
      </c>
      <c r="P83" s="63">
        <v>1</v>
      </c>
      <c r="Q83" s="63" t="s">
        <v>116</v>
      </c>
      <c r="R83" s="63" t="s">
        <v>123</v>
      </c>
      <c r="S83" s="75" t="str">
        <f>VLOOKUP(FindRates5[[#This Row],[FromCode]],$A$2:$B$14,2,FALSE)</f>
        <v>Medway</v>
      </c>
      <c r="T83" s="76" t="str">
        <f>VLOOKUP(FindRates5[[#This Row],[Tocode]],$A$2:$B$14,2,FALSE)</f>
        <v>Chapmans Anchor</v>
      </c>
      <c r="U83" s="87"/>
    </row>
    <row r="84" spans="5:21" x14ac:dyDescent="0.2">
      <c r="E84" s="90"/>
      <c r="F84" s="4"/>
      <c r="G84" s="4"/>
      <c r="H84" s="62" t="s">
        <v>143</v>
      </c>
      <c r="I84" s="63" t="s">
        <v>39</v>
      </c>
      <c r="J84" s="63" t="s">
        <v>106</v>
      </c>
      <c r="K84" s="63">
        <v>1</v>
      </c>
      <c r="L84" s="63">
        <v>0</v>
      </c>
      <c r="M84" s="80">
        <v>1</v>
      </c>
      <c r="N84" s="63">
        <v>0</v>
      </c>
      <c r="O84" s="63">
        <v>0</v>
      </c>
      <c r="P84" s="63">
        <v>0</v>
      </c>
      <c r="Q84" s="63" t="s">
        <v>116</v>
      </c>
      <c r="R84" s="63" t="s">
        <v>104</v>
      </c>
      <c r="S84" s="64" t="str">
        <f>VLOOKUP(FindRates5[[#This Row],[FromCode]],$A$2:$B$14,2,FALSE)</f>
        <v>Medway</v>
      </c>
      <c r="T84" s="65" t="str">
        <f>VLOOKUP(FindRates5[[#This Row],[Tocode]],$A$2:$B$14,2,FALSE)</f>
        <v>NE Spit</v>
      </c>
      <c r="U84" s="66"/>
    </row>
    <row r="85" spans="5:21" x14ac:dyDescent="0.2">
      <c r="E85" s="90"/>
      <c r="F85" s="4"/>
      <c r="G85" s="4"/>
      <c r="H85" s="62" t="str">
        <f>FindRates5[[#This Row],[FromCode]]&amp;FindRates5[[#This Row],[Tocode]]</f>
        <v>MW</v>
      </c>
      <c r="I85" s="63" t="s">
        <v>107</v>
      </c>
      <c r="J85" s="63" t="s">
        <v>106</v>
      </c>
      <c r="K85" s="63">
        <v>0</v>
      </c>
      <c r="L85" s="63">
        <v>1</v>
      </c>
      <c r="M85" s="80">
        <v>1</v>
      </c>
      <c r="N85" s="63">
        <v>0</v>
      </c>
      <c r="O85" s="63">
        <v>0</v>
      </c>
      <c r="P85" s="63">
        <v>0</v>
      </c>
      <c r="Q85" s="63" t="s">
        <v>116</v>
      </c>
      <c r="R85" s="63" t="s">
        <v>113</v>
      </c>
      <c r="S85" s="64" t="str">
        <f>VLOOKUP(FindRates5[[#This Row],[FromCode]],$A$2:$B$14,2,FALSE)</f>
        <v>Medway</v>
      </c>
      <c r="T85" s="65" t="str">
        <f>VLOOKUP(FindRates5[[#This Row],[Tocode]],$A$2:$B$14,2,FALSE)</f>
        <v>Warp</v>
      </c>
      <c r="U85" s="66"/>
    </row>
    <row r="86" spans="5:21" x14ac:dyDescent="0.2">
      <c r="E86" s="90"/>
      <c r="F86" s="4"/>
      <c r="G86" s="4"/>
      <c r="H86" s="62" t="str">
        <f>FindRates5[[#This Row],[FromCode]]&amp;FindRates5[[#This Row],[Tocode]]</f>
        <v>OA</v>
      </c>
      <c r="I86" s="63" t="s">
        <v>57</v>
      </c>
      <c r="J86" s="63" t="s">
        <v>106</v>
      </c>
      <c r="K86" s="63">
        <v>0</v>
      </c>
      <c r="L86" s="63">
        <v>0</v>
      </c>
      <c r="M86" s="63">
        <v>0</v>
      </c>
      <c r="N86" s="63">
        <v>0</v>
      </c>
      <c r="O86" s="79">
        <v>1</v>
      </c>
      <c r="P86" s="64">
        <v>0</v>
      </c>
      <c r="Q86" s="63" t="s">
        <v>119</v>
      </c>
      <c r="R86" s="63" t="s">
        <v>108</v>
      </c>
      <c r="S86" s="64" t="str">
        <f>VLOOKUP(FindRates5[[#This Row],[FromCode]],$A$2:$B$14,2,FALSE)</f>
        <v>Oil Terminal</v>
      </c>
      <c r="T86" s="65" t="str">
        <f>VLOOKUP(FindRates5[[#This Row],[Tocode]],$A$2:$B$14,2,FALSE)</f>
        <v>Sector A</v>
      </c>
      <c r="U86" s="77" t="str">
        <f>IF(AND(FindRates5[[#This Row],[BLGSND]]&gt;0,$F$6="YES"),"B&amp;L Gravesend may not be charged if a Through Pilot is available.","")</f>
        <v/>
      </c>
    </row>
    <row r="87" spans="5:21" x14ac:dyDescent="0.2">
      <c r="E87" s="90"/>
      <c r="F87" s="4"/>
      <c r="G87" s="4"/>
      <c r="H87" s="62" t="str">
        <f>FindRates5[[#This Row],[FromCode]]&amp;FindRates5[[#This Row],[Tocode]]</f>
        <v>OB</v>
      </c>
      <c r="I87" s="63" t="s">
        <v>56</v>
      </c>
      <c r="J87" s="63" t="s">
        <v>59</v>
      </c>
      <c r="K87" s="63">
        <v>0</v>
      </c>
      <c r="L87" s="63">
        <v>0</v>
      </c>
      <c r="M87" s="63">
        <v>0</v>
      </c>
      <c r="N87" s="63">
        <v>0</v>
      </c>
      <c r="O87" s="63">
        <v>1</v>
      </c>
      <c r="P87" s="64">
        <v>0</v>
      </c>
      <c r="Q87" s="63" t="s">
        <v>119</v>
      </c>
      <c r="R87" s="63" t="s">
        <v>111</v>
      </c>
      <c r="S87" s="64" t="str">
        <f>VLOOKUP(FindRates5[[#This Row],[FromCode]],$A$2:$B$14,2,FALSE)</f>
        <v>Oil Terminal</v>
      </c>
      <c r="T87" s="65" t="str">
        <f>VLOOKUP(FindRates5[[#This Row],[Tocode]],$A$2:$B$14,2,FALSE)</f>
        <v>Sector B</v>
      </c>
      <c r="U87" s="66"/>
    </row>
    <row r="88" spans="5:21" x14ac:dyDescent="0.2">
      <c r="E88" s="90"/>
      <c r="F88" s="4"/>
      <c r="G88" s="4"/>
      <c r="H88" s="62" t="str">
        <f>FindRates5[[#This Row],[FromCode]]&amp;FindRates5[[#This Row],[Tocode]]</f>
        <v>OC</v>
      </c>
      <c r="I88" s="63" t="s">
        <v>56</v>
      </c>
      <c r="J88" s="63" t="s">
        <v>61</v>
      </c>
      <c r="K88" s="63">
        <v>0</v>
      </c>
      <c r="L88" s="63">
        <v>0</v>
      </c>
      <c r="M88" s="63">
        <v>0</v>
      </c>
      <c r="N88" s="63">
        <v>0</v>
      </c>
      <c r="O88" s="63">
        <v>1</v>
      </c>
      <c r="P88" s="64">
        <v>0</v>
      </c>
      <c r="Q88" s="63" t="s">
        <v>119</v>
      </c>
      <c r="R88" s="63" t="s">
        <v>115</v>
      </c>
      <c r="S88" s="64" t="str">
        <f>VLOOKUP(FindRates5[[#This Row],[FromCode]],$A$2:$B$14,2,FALSE)</f>
        <v>Oil Terminal</v>
      </c>
      <c r="T88" s="65" t="str">
        <f>VLOOKUP(FindRates5[[#This Row],[Tocode]],$A$2:$B$14,2,FALSE)</f>
        <v>Sector C</v>
      </c>
      <c r="U88" s="66"/>
    </row>
    <row r="89" spans="5:21" x14ac:dyDescent="0.2">
      <c r="E89" s="90"/>
      <c r="F89" s="4"/>
      <c r="G89" s="4"/>
      <c r="H89" s="62" t="str">
        <f>FindRates5[[#This Row],[FromCode]]&amp;FindRates5[[#This Row],[Tocode]]</f>
        <v>OD</v>
      </c>
      <c r="I89" s="63" t="s">
        <v>56</v>
      </c>
      <c r="J89" s="63" t="s">
        <v>63</v>
      </c>
      <c r="K89" s="63">
        <v>0</v>
      </c>
      <c r="L89" s="63">
        <v>0</v>
      </c>
      <c r="M89" s="63">
        <v>0</v>
      </c>
      <c r="N89" s="63">
        <v>0</v>
      </c>
      <c r="O89" s="63">
        <v>1</v>
      </c>
      <c r="P89" s="64">
        <v>0</v>
      </c>
      <c r="Q89" s="63" t="s">
        <v>119</v>
      </c>
      <c r="R89" s="63" t="s">
        <v>117</v>
      </c>
      <c r="S89" s="64" t="str">
        <f>VLOOKUP(FindRates5[[#This Row],[FromCode]],$A$2:$B$14,2,FALSE)</f>
        <v>Oil Terminal</v>
      </c>
      <c r="T89" s="65" t="str">
        <f>VLOOKUP(FindRates5[[#This Row],[Tocode]],$A$2:$B$14,2,FALSE)</f>
        <v>Sector D</v>
      </c>
      <c r="U89" s="66"/>
    </row>
    <row r="90" spans="5:21" x14ac:dyDescent="0.2">
      <c r="E90" s="90"/>
      <c r="F90" s="4"/>
      <c r="G90" s="4"/>
      <c r="H90" s="62" t="str">
        <f>FindRates5[[#This Row],[FromCode]]&amp;FindRates5[[#This Row],[Tocode]]</f>
        <v>OG</v>
      </c>
      <c r="I90" s="63" t="s">
        <v>56</v>
      </c>
      <c r="J90" s="63" t="s">
        <v>106</v>
      </c>
      <c r="K90" s="63">
        <v>0</v>
      </c>
      <c r="L90" s="63">
        <v>0</v>
      </c>
      <c r="M90" s="63">
        <v>0</v>
      </c>
      <c r="N90" s="63">
        <v>0</v>
      </c>
      <c r="O90" s="63">
        <v>1</v>
      </c>
      <c r="P90" s="64">
        <v>0</v>
      </c>
      <c r="Q90" s="63" t="s">
        <v>119</v>
      </c>
      <c r="R90" s="63" t="s">
        <v>121</v>
      </c>
      <c r="S90" s="64" t="str">
        <f>VLOOKUP(FindRates5[[#This Row],[FromCode]],$A$2:$B$14,2,FALSE)</f>
        <v>Oil Terminal</v>
      </c>
      <c r="T90" s="65" t="str">
        <f>VLOOKUP(FindRates5[[#This Row],[Tocode]],$A$2:$B$14,2,FALSE)</f>
        <v>Gravesend</v>
      </c>
      <c r="U90" s="66"/>
    </row>
    <row r="91" spans="5:21" x14ac:dyDescent="0.2">
      <c r="E91" s="90"/>
      <c r="F91" s="4"/>
      <c r="G91" s="4"/>
      <c r="H91" s="62" t="str">
        <f>FindRates5[[#This Row],[FromCode]]&amp;FindRates5[[#This Row],[Tocode]]</f>
        <v>OT</v>
      </c>
      <c r="I91" s="63" t="s">
        <v>56</v>
      </c>
      <c r="J91" s="63" t="s">
        <v>106</v>
      </c>
      <c r="K91" s="63">
        <v>0</v>
      </c>
      <c r="L91" s="63">
        <v>0</v>
      </c>
      <c r="M91" s="63">
        <v>0</v>
      </c>
      <c r="N91" s="63">
        <v>0</v>
      </c>
      <c r="O91" s="63">
        <v>0</v>
      </c>
      <c r="P91" s="63">
        <v>0</v>
      </c>
      <c r="Q91" s="74" t="s">
        <v>119</v>
      </c>
      <c r="R91" s="74" t="s">
        <v>124</v>
      </c>
      <c r="S91" s="75" t="str">
        <f>VLOOKUP(FindRates5[[#This Row],[FromCode]],$A$2:$B$14,2,FALSE)</f>
        <v>Oil Terminal</v>
      </c>
      <c r="T91" s="76" t="str">
        <f>VLOOKUP(FindRates5[[#This Row],[Tocode]],$A$2:$B$14,2,FALSE)</f>
        <v>Tilbury2</v>
      </c>
      <c r="U91" s="66"/>
    </row>
    <row r="92" spans="5:21" x14ac:dyDescent="0.2">
      <c r="E92" s="90"/>
      <c r="F92" s="4"/>
      <c r="G92" s="4"/>
      <c r="H92" s="62" t="s">
        <v>144</v>
      </c>
      <c r="I92" s="63" t="s">
        <v>43</v>
      </c>
      <c r="J92" s="63" t="s">
        <v>106</v>
      </c>
      <c r="K92" s="63">
        <v>0</v>
      </c>
      <c r="L92" s="63">
        <v>0</v>
      </c>
      <c r="M92" s="63">
        <v>0</v>
      </c>
      <c r="N92" s="63">
        <v>1</v>
      </c>
      <c r="O92" s="63">
        <v>0</v>
      </c>
      <c r="P92" s="64">
        <v>0</v>
      </c>
      <c r="Q92" s="63" t="s">
        <v>119</v>
      </c>
      <c r="R92" s="63" t="s">
        <v>109</v>
      </c>
      <c r="S92" s="64" t="str">
        <f>VLOOKUP(FindRates5[[#This Row],[FromCode]],$A$2:$B$14,2,FALSE)</f>
        <v>Oil Terminal</v>
      </c>
      <c r="T92" s="65" t="str">
        <f>VLOOKUP(FindRates5[[#This Row],[Tocode]],$A$2:$B$14,2,FALSE)</f>
        <v>Sunk</v>
      </c>
      <c r="U92" s="66"/>
    </row>
    <row r="93" spans="5:21" x14ac:dyDescent="0.2">
      <c r="E93" s="90"/>
      <c r="F93" s="4"/>
      <c r="G93" s="4"/>
      <c r="H93" s="62" t="s">
        <v>145</v>
      </c>
      <c r="I93" s="63" t="s">
        <v>54</v>
      </c>
      <c r="J93" s="63" t="s">
        <v>106</v>
      </c>
      <c r="K93" s="63">
        <v>0</v>
      </c>
      <c r="L93" s="63">
        <v>0</v>
      </c>
      <c r="M93" s="63">
        <v>1</v>
      </c>
      <c r="N93" s="63">
        <v>0</v>
      </c>
      <c r="O93" s="63">
        <v>0</v>
      </c>
      <c r="P93" s="64">
        <v>0</v>
      </c>
      <c r="Q93" s="63" t="s">
        <v>119</v>
      </c>
      <c r="R93" s="63" t="s">
        <v>116</v>
      </c>
      <c r="S93" s="64" t="str">
        <f>VLOOKUP(FindRates5[[#This Row],[FromCode]],$A$2:$B$14,2,FALSE)</f>
        <v>Oil Terminal</v>
      </c>
      <c r="T93" s="65" t="str">
        <f>VLOOKUP(FindRates5[[#This Row],[Tocode]],$A$2:$B$14,2,FALSE)</f>
        <v>Medway</v>
      </c>
      <c r="U93" s="66"/>
    </row>
    <row r="94" spans="5:21" x14ac:dyDescent="0.2">
      <c r="E94" s="90"/>
      <c r="F94" s="4"/>
      <c r="G94" s="4"/>
      <c r="H94" s="62" t="str">
        <f>FindRates5[[#This Row],[FromCode]]&amp;FindRates5[[#This Row],[Tocode]]</f>
        <v>OO</v>
      </c>
      <c r="I94" s="63" t="s">
        <v>107</v>
      </c>
      <c r="J94" s="63" t="s">
        <v>106</v>
      </c>
      <c r="K94" s="63">
        <v>0</v>
      </c>
      <c r="L94" s="63">
        <v>0</v>
      </c>
      <c r="M94" s="63">
        <v>0</v>
      </c>
      <c r="N94" s="63">
        <v>0</v>
      </c>
      <c r="O94" s="63">
        <v>0</v>
      </c>
      <c r="P94" s="63">
        <v>0</v>
      </c>
      <c r="Q94" s="63" t="s">
        <v>119</v>
      </c>
      <c r="R94" s="63" t="s">
        <v>119</v>
      </c>
      <c r="S94" s="64" t="str">
        <f>VLOOKUP(FindRates5[[#This Row],[FromCode]],$A$2:$B$14,2,FALSE)</f>
        <v>Oil Terminal</v>
      </c>
      <c r="T94" s="65" t="str">
        <f>VLOOKUP(FindRates5[[#This Row],[Tocode]],$A$2:$B$14,2,FALSE)</f>
        <v>Oil Terminal</v>
      </c>
      <c r="U94" s="66"/>
    </row>
    <row r="95" spans="5:21" x14ac:dyDescent="0.2">
      <c r="E95" s="90"/>
      <c r="F95" s="4"/>
      <c r="G95" s="4"/>
      <c r="H95" s="62" t="str">
        <f>FindRates5[[#This Row],[FromCode]]&amp;FindRates5[[#This Row],[Tocode]]</f>
        <v>OZ</v>
      </c>
      <c r="I95" s="63" t="s">
        <v>107</v>
      </c>
      <c r="J95" s="63" t="s">
        <v>106</v>
      </c>
      <c r="K95" s="63">
        <v>0</v>
      </c>
      <c r="L95" s="63">
        <v>0</v>
      </c>
      <c r="M95" s="63">
        <v>0</v>
      </c>
      <c r="N95" s="63">
        <v>0</v>
      </c>
      <c r="O95" s="63">
        <v>0</v>
      </c>
      <c r="P95" s="63">
        <v>1</v>
      </c>
      <c r="Q95" s="63" t="s">
        <v>119</v>
      </c>
      <c r="R95" s="63" t="s">
        <v>123</v>
      </c>
      <c r="S95" s="75" t="str">
        <f>VLOOKUP(FindRates5[[#This Row],[FromCode]],$A$2:$B$14,2,FALSE)</f>
        <v>Oil Terminal</v>
      </c>
      <c r="T95" s="76" t="str">
        <f>VLOOKUP(FindRates5[[#This Row],[Tocode]],$A$2:$B$14,2,FALSE)</f>
        <v>Chapmans Anchor</v>
      </c>
      <c r="U95" s="87"/>
    </row>
    <row r="96" spans="5:21" x14ac:dyDescent="0.2">
      <c r="E96" s="90"/>
      <c r="F96" s="4"/>
      <c r="G96" s="4"/>
      <c r="H96" s="62" t="s">
        <v>146</v>
      </c>
      <c r="I96" s="63" t="s">
        <v>37</v>
      </c>
      <c r="J96" s="63" t="s">
        <v>106</v>
      </c>
      <c r="K96" s="63">
        <v>1</v>
      </c>
      <c r="L96" s="63">
        <v>0</v>
      </c>
      <c r="M96" s="63">
        <v>0</v>
      </c>
      <c r="N96" s="63">
        <v>0</v>
      </c>
      <c r="O96" s="63">
        <v>0</v>
      </c>
      <c r="P96" s="63">
        <v>0</v>
      </c>
      <c r="Q96" s="63" t="s">
        <v>119</v>
      </c>
      <c r="R96" s="63" t="s">
        <v>104</v>
      </c>
      <c r="S96" s="64" t="str">
        <f>VLOOKUP(FindRates5[[#This Row],[FromCode]],$A$2:$B$14,2,FALSE)</f>
        <v>Oil Terminal</v>
      </c>
      <c r="T96" s="65" t="str">
        <f>VLOOKUP(FindRates5[[#This Row],[Tocode]],$A$2:$B$14,2,FALSE)</f>
        <v>NE Spit</v>
      </c>
      <c r="U96" s="66"/>
    </row>
    <row r="97" spans="5:21" x14ac:dyDescent="0.2">
      <c r="E97" s="90"/>
      <c r="F97" s="4"/>
      <c r="G97" s="4"/>
      <c r="H97" s="62" t="str">
        <f>FindRates5[[#This Row],[FromCode]]&amp;FindRates5[[#This Row],[Tocode]]</f>
        <v>OW</v>
      </c>
      <c r="I97" s="63" t="s">
        <v>47</v>
      </c>
      <c r="J97" s="63" t="s">
        <v>106</v>
      </c>
      <c r="K97" s="63">
        <v>0</v>
      </c>
      <c r="L97" s="63">
        <v>1</v>
      </c>
      <c r="M97" s="63">
        <v>0</v>
      </c>
      <c r="N97" s="63">
        <v>0</v>
      </c>
      <c r="O97" s="63">
        <v>0</v>
      </c>
      <c r="P97" s="63">
        <v>0</v>
      </c>
      <c r="Q97" s="63" t="s">
        <v>119</v>
      </c>
      <c r="R97" s="63" t="s">
        <v>113</v>
      </c>
      <c r="S97" s="64" t="str">
        <f>VLOOKUP(FindRates5[[#This Row],[FromCode]],$A$2:$B$14,2,FALSE)</f>
        <v>Oil Terminal</v>
      </c>
      <c r="T97" s="65" t="str">
        <f>VLOOKUP(FindRates5[[#This Row],[Tocode]],$A$2:$B$14,2,FALSE)</f>
        <v>Warp</v>
      </c>
      <c r="U97" s="66"/>
    </row>
    <row r="98" spans="5:21" x14ac:dyDescent="0.2">
      <c r="E98" s="90"/>
      <c r="F98" s="4"/>
      <c r="G98" s="4"/>
      <c r="H98" s="62" t="str">
        <f>FindRates5[[#This Row],[FromCode]]&amp;FindRates5[[#This Row],[Tocode]]</f>
        <v>RA</v>
      </c>
      <c r="I98" s="63" t="s">
        <v>41</v>
      </c>
      <c r="J98" s="63" t="s">
        <v>106</v>
      </c>
      <c r="K98" s="63">
        <v>1</v>
      </c>
      <c r="L98" s="63">
        <v>0</v>
      </c>
      <c r="M98" s="63">
        <v>0</v>
      </c>
      <c r="N98" s="63">
        <v>0</v>
      </c>
      <c r="O98" s="79">
        <v>1</v>
      </c>
      <c r="P98" s="64">
        <v>0</v>
      </c>
      <c r="Q98" s="63" t="s">
        <v>104</v>
      </c>
      <c r="R98" s="63" t="s">
        <v>108</v>
      </c>
      <c r="S98" s="64" t="str">
        <f>VLOOKUP(FindRates5[[#This Row],[FromCode]],$A$2:$B$14,2,FALSE)</f>
        <v>NE Spit</v>
      </c>
      <c r="T98" s="65" t="str">
        <f>VLOOKUP(FindRates5[[#This Row],[Tocode]],$A$2:$B$14,2,FALSE)</f>
        <v>Sector A</v>
      </c>
      <c r="U98" s="77" t="str">
        <f>IF(AND(FindRates5[[#This Row],[BLGSND]]&gt;0,$F$6="YES"),"B&amp;L Gravesend may not be charged if a Through Pilot is available.","")</f>
        <v/>
      </c>
    </row>
    <row r="99" spans="5:21" x14ac:dyDescent="0.2">
      <c r="E99" s="4"/>
      <c r="F99" s="4"/>
      <c r="G99" s="4"/>
      <c r="H99" s="62" t="str">
        <f>FindRates5[[#This Row],[FromCode]]&amp;FindRates5[[#This Row],[Tocode]]</f>
        <v>RB</v>
      </c>
      <c r="I99" s="63" t="s">
        <v>40</v>
      </c>
      <c r="J99" s="63" t="s">
        <v>59</v>
      </c>
      <c r="K99" s="63">
        <v>1</v>
      </c>
      <c r="L99" s="63">
        <v>0</v>
      </c>
      <c r="M99" s="63">
        <v>0</v>
      </c>
      <c r="N99" s="63">
        <v>0</v>
      </c>
      <c r="O99" s="63">
        <v>1</v>
      </c>
      <c r="P99" s="64">
        <v>0</v>
      </c>
      <c r="Q99" s="63" t="s">
        <v>104</v>
      </c>
      <c r="R99" s="63" t="s">
        <v>111</v>
      </c>
      <c r="S99" s="64" t="str">
        <f>VLOOKUP(FindRates5[[#This Row],[FromCode]],$A$2:$B$14,2,FALSE)</f>
        <v>NE Spit</v>
      </c>
      <c r="T99" s="65" t="str">
        <f>VLOOKUP(FindRates5[[#This Row],[Tocode]],$A$2:$B$14,2,FALSE)</f>
        <v>Sector B</v>
      </c>
      <c r="U99" s="66"/>
    </row>
    <row r="100" spans="5:21" x14ac:dyDescent="0.2">
      <c r="E100" s="4"/>
      <c r="F100" s="4"/>
      <c r="G100" s="4"/>
      <c r="H100" s="62" t="str">
        <f>FindRates5[[#This Row],[FromCode]]&amp;FindRates5[[#This Row],[Tocode]]</f>
        <v>RC</v>
      </c>
      <c r="I100" s="63" t="s">
        <v>40</v>
      </c>
      <c r="J100" s="63" t="s">
        <v>61</v>
      </c>
      <c r="K100" s="63">
        <v>1</v>
      </c>
      <c r="L100" s="63">
        <v>0</v>
      </c>
      <c r="M100" s="63">
        <v>0</v>
      </c>
      <c r="N100" s="63">
        <v>0</v>
      </c>
      <c r="O100" s="63">
        <v>1</v>
      </c>
      <c r="P100" s="64">
        <v>0</v>
      </c>
      <c r="Q100" s="63" t="s">
        <v>104</v>
      </c>
      <c r="R100" s="63" t="s">
        <v>115</v>
      </c>
      <c r="S100" s="64" t="str">
        <f>VLOOKUP(FindRates5[[#This Row],[FromCode]],$A$2:$B$14,2,FALSE)</f>
        <v>NE Spit</v>
      </c>
      <c r="T100" s="65" t="str">
        <f>VLOOKUP(FindRates5[[#This Row],[Tocode]],$A$2:$B$14,2,FALSE)</f>
        <v>Sector C</v>
      </c>
      <c r="U100" s="66"/>
    </row>
    <row r="101" spans="5:21" x14ac:dyDescent="0.2">
      <c r="E101" s="4"/>
      <c r="F101" s="4"/>
      <c r="G101" s="4"/>
      <c r="H101" s="62" t="str">
        <f>FindRates5[[#This Row],[FromCode]]&amp;FindRates5[[#This Row],[Tocode]]</f>
        <v>RD</v>
      </c>
      <c r="I101" s="63" t="s">
        <v>40</v>
      </c>
      <c r="J101" s="63" t="s">
        <v>63</v>
      </c>
      <c r="K101" s="63">
        <v>1</v>
      </c>
      <c r="L101" s="63">
        <v>0</v>
      </c>
      <c r="M101" s="63">
        <v>0</v>
      </c>
      <c r="N101" s="63">
        <v>0</v>
      </c>
      <c r="O101" s="63">
        <v>1</v>
      </c>
      <c r="P101" s="64">
        <v>0</v>
      </c>
      <c r="Q101" s="63" t="s">
        <v>104</v>
      </c>
      <c r="R101" s="63" t="s">
        <v>117</v>
      </c>
      <c r="S101" s="64" t="str">
        <f>VLOOKUP(FindRates5[[#This Row],[FromCode]],$A$2:$B$14,2,FALSE)</f>
        <v>NE Spit</v>
      </c>
      <c r="T101" s="65" t="str">
        <f>VLOOKUP(FindRates5[[#This Row],[Tocode]],$A$2:$B$14,2,FALSE)</f>
        <v>Sector D</v>
      </c>
      <c r="U101" s="66"/>
    </row>
    <row r="102" spans="5:21" x14ac:dyDescent="0.2">
      <c r="E102" s="4"/>
      <c r="F102" s="4"/>
      <c r="G102" s="4"/>
      <c r="H102" s="62" t="str">
        <f>FindRates5[[#This Row],[FromCode]]&amp;FindRates5[[#This Row],[Tocode]]</f>
        <v>RG</v>
      </c>
      <c r="I102" s="63" t="s">
        <v>40</v>
      </c>
      <c r="J102" s="63" t="s">
        <v>106</v>
      </c>
      <c r="K102" s="63">
        <v>1</v>
      </c>
      <c r="L102" s="63">
        <v>0</v>
      </c>
      <c r="M102" s="63">
        <v>0</v>
      </c>
      <c r="N102" s="63">
        <v>0</v>
      </c>
      <c r="O102" s="63">
        <v>1</v>
      </c>
      <c r="P102" s="64">
        <v>0</v>
      </c>
      <c r="Q102" s="63" t="s">
        <v>104</v>
      </c>
      <c r="R102" s="63" t="s">
        <v>121</v>
      </c>
      <c r="S102" s="64" t="str">
        <f>VLOOKUP(FindRates5[[#This Row],[FromCode]],$A$2:$B$14,2,FALSE)</f>
        <v>NE Spit</v>
      </c>
      <c r="T102" s="65" t="str">
        <f>VLOOKUP(FindRates5[[#This Row],[Tocode]],$A$2:$B$14,2,FALSE)</f>
        <v>Gravesend</v>
      </c>
      <c r="U102" s="66"/>
    </row>
    <row r="103" spans="5:21" x14ac:dyDescent="0.2">
      <c r="E103" s="4"/>
      <c r="F103" s="4"/>
      <c r="G103" s="4"/>
      <c r="H103" s="62" t="str">
        <f>FindRates5[[#This Row],[FromCode]]&amp;FindRates5[[#This Row],[Tocode]]</f>
        <v>RT</v>
      </c>
      <c r="I103" s="63" t="s">
        <v>40</v>
      </c>
      <c r="J103" s="63" t="s">
        <v>106</v>
      </c>
      <c r="K103" s="63">
        <v>1</v>
      </c>
      <c r="L103" s="63">
        <v>0</v>
      </c>
      <c r="M103" s="63">
        <v>0</v>
      </c>
      <c r="N103" s="63">
        <v>0</v>
      </c>
      <c r="O103" s="63">
        <v>0</v>
      </c>
      <c r="P103" s="63">
        <v>0</v>
      </c>
      <c r="Q103" s="74" t="s">
        <v>104</v>
      </c>
      <c r="R103" s="74" t="s">
        <v>124</v>
      </c>
      <c r="S103" s="75" t="str">
        <f>VLOOKUP(FindRates5[[#This Row],[FromCode]],$A$2:$B$14,2,FALSE)</f>
        <v>NE Spit</v>
      </c>
      <c r="T103" s="76" t="str">
        <f>VLOOKUP(FindRates5[[#This Row],[Tocode]],$A$2:$B$14,2,FALSE)</f>
        <v>Tilbury2</v>
      </c>
      <c r="U103" s="66"/>
    </row>
    <row r="104" spans="5:21" x14ac:dyDescent="0.2">
      <c r="H104" s="62" t="str">
        <f>FindRates5[[#This Row],[FromCode]]&amp;FindRates5[[#This Row],[Tocode]]</f>
        <v>RH</v>
      </c>
      <c r="I104" s="63" t="s">
        <v>107</v>
      </c>
      <c r="J104" s="63" t="s">
        <v>106</v>
      </c>
      <c r="K104" s="63">
        <v>1</v>
      </c>
      <c r="L104" s="63">
        <v>0</v>
      </c>
      <c r="M104" s="63">
        <v>0</v>
      </c>
      <c r="N104" s="63">
        <v>1</v>
      </c>
      <c r="O104" s="63">
        <v>0</v>
      </c>
      <c r="P104" s="64">
        <v>0</v>
      </c>
      <c r="Q104" s="63" t="s">
        <v>104</v>
      </c>
      <c r="R104" s="63" t="s">
        <v>109</v>
      </c>
      <c r="S104" s="64" t="str">
        <f>VLOOKUP(FindRates5[[#This Row],[FromCode]],$A$2:$B$14,2,FALSE)</f>
        <v>NE Spit</v>
      </c>
      <c r="T104" s="65" t="str">
        <f>VLOOKUP(FindRates5[[#This Row],[Tocode]],$A$2:$B$14,2,FALSE)</f>
        <v>Sunk</v>
      </c>
      <c r="U104" s="66"/>
    </row>
    <row r="105" spans="5:21" x14ac:dyDescent="0.2">
      <c r="H105" s="62" t="str">
        <f>FindRates5[[#This Row],[FromCode]]&amp;FindRates5[[#This Row],[Tocode]]</f>
        <v>RM</v>
      </c>
      <c r="I105" s="63" t="s">
        <v>39</v>
      </c>
      <c r="J105" s="63" t="s">
        <v>106</v>
      </c>
      <c r="K105" s="63">
        <v>1</v>
      </c>
      <c r="L105" s="63">
        <v>0</v>
      </c>
      <c r="M105" s="80">
        <v>1</v>
      </c>
      <c r="N105" s="63">
        <v>0</v>
      </c>
      <c r="O105" s="63">
        <v>0</v>
      </c>
      <c r="P105" s="64">
        <v>0</v>
      </c>
      <c r="Q105" s="63" t="s">
        <v>104</v>
      </c>
      <c r="R105" s="63" t="s">
        <v>116</v>
      </c>
      <c r="S105" s="64" t="str">
        <f>VLOOKUP(FindRates5[[#This Row],[FromCode]],$A$2:$B$14,2,FALSE)</f>
        <v>NE Spit</v>
      </c>
      <c r="T105" s="65" t="str">
        <f>VLOOKUP(FindRates5[[#This Row],[Tocode]],$A$2:$B$14,2,FALSE)</f>
        <v>Medway</v>
      </c>
      <c r="U105" s="66"/>
    </row>
    <row r="106" spans="5:21" x14ac:dyDescent="0.2">
      <c r="H106" s="62" t="str">
        <f>FindRates5[[#This Row],[FromCode]]&amp;FindRates5[[#This Row],[Tocode]]</f>
        <v>RO</v>
      </c>
      <c r="I106" s="63" t="s">
        <v>37</v>
      </c>
      <c r="J106" s="63" t="s">
        <v>106</v>
      </c>
      <c r="K106" s="63">
        <v>1</v>
      </c>
      <c r="L106" s="63">
        <v>0</v>
      </c>
      <c r="M106" s="63">
        <v>0</v>
      </c>
      <c r="N106" s="63">
        <v>0</v>
      </c>
      <c r="O106" s="63">
        <v>0</v>
      </c>
      <c r="P106" s="63">
        <v>0</v>
      </c>
      <c r="Q106" s="63" t="s">
        <v>104</v>
      </c>
      <c r="R106" s="63" t="s">
        <v>119</v>
      </c>
      <c r="S106" s="64" t="str">
        <f>VLOOKUP(FindRates5[[#This Row],[FromCode]],$A$2:$B$14,2,FALSE)</f>
        <v>NE Spit</v>
      </c>
      <c r="T106" s="65" t="str">
        <f>VLOOKUP(FindRates5[[#This Row],[Tocode]],$A$2:$B$14,2,FALSE)</f>
        <v>Oil Terminal</v>
      </c>
      <c r="U106" s="66"/>
    </row>
    <row r="107" spans="5:21" x14ac:dyDescent="0.2">
      <c r="H107" s="62" t="str">
        <f>FindRates5[[#This Row],[FromCode]]&amp;FindRates5[[#This Row],[Tocode]]</f>
        <v>RZ</v>
      </c>
      <c r="I107" s="63" t="s">
        <v>37</v>
      </c>
      <c r="J107" s="63" t="s">
        <v>106</v>
      </c>
      <c r="K107" s="63">
        <v>1</v>
      </c>
      <c r="L107" s="63">
        <v>0</v>
      </c>
      <c r="M107" s="63">
        <v>0</v>
      </c>
      <c r="N107" s="63">
        <v>0</v>
      </c>
      <c r="O107" s="63">
        <v>0</v>
      </c>
      <c r="P107" s="63">
        <v>1</v>
      </c>
      <c r="Q107" s="63" t="s">
        <v>104</v>
      </c>
      <c r="R107" s="63" t="s">
        <v>123</v>
      </c>
      <c r="S107" s="75" t="str">
        <f>VLOOKUP(FindRates5[[#This Row],[FromCode]],$A$2:$B$14,2,FALSE)</f>
        <v>NE Spit</v>
      </c>
      <c r="T107" s="76" t="str">
        <f>VLOOKUP(FindRates5[[#This Row],[Tocode]],$A$2:$B$14,2,FALSE)</f>
        <v>Chapmans Anchor</v>
      </c>
      <c r="U107" s="87"/>
    </row>
    <row r="108" spans="5:21" x14ac:dyDescent="0.2">
      <c r="H108" s="62" t="str">
        <f>FindRates5[[#This Row],[FromCode]]&amp;FindRates5[[#This Row],[Tocode]]</f>
        <v>RR</v>
      </c>
      <c r="I108" s="63" t="s">
        <v>107</v>
      </c>
      <c r="J108" s="63" t="s">
        <v>106</v>
      </c>
      <c r="K108" s="63">
        <v>2</v>
      </c>
      <c r="L108" s="63">
        <v>0</v>
      </c>
      <c r="M108" s="63">
        <v>0</v>
      </c>
      <c r="N108" s="63">
        <v>0</v>
      </c>
      <c r="O108" s="63">
        <v>0</v>
      </c>
      <c r="P108" s="63">
        <v>0</v>
      </c>
      <c r="Q108" s="63" t="s">
        <v>104</v>
      </c>
      <c r="R108" s="63" t="s">
        <v>104</v>
      </c>
      <c r="S108" s="64" t="str">
        <f>VLOOKUP(FindRates5[[#This Row],[FromCode]],$A$2:$B$14,2,FALSE)</f>
        <v>NE Spit</v>
      </c>
      <c r="T108" s="65" t="str">
        <f>VLOOKUP(FindRates5[[#This Row],[Tocode]],$A$2:$B$14,2,FALSE)</f>
        <v>NE Spit</v>
      </c>
      <c r="U108" s="66"/>
    </row>
    <row r="109" spans="5:21" x14ac:dyDescent="0.2">
      <c r="H109" s="62" t="str">
        <f>FindRates5[[#This Row],[FromCode]]&amp;FindRates5[[#This Row],[Tocode]]</f>
        <v>RW</v>
      </c>
      <c r="I109" s="63" t="s">
        <v>39</v>
      </c>
      <c r="J109" s="63" t="s">
        <v>106</v>
      </c>
      <c r="K109" s="63">
        <v>1</v>
      </c>
      <c r="L109" s="63">
        <v>1</v>
      </c>
      <c r="M109" s="63">
        <v>0</v>
      </c>
      <c r="N109" s="63">
        <v>0</v>
      </c>
      <c r="O109" s="63">
        <v>0</v>
      </c>
      <c r="P109" s="63">
        <v>0</v>
      </c>
      <c r="Q109" s="63" t="s">
        <v>104</v>
      </c>
      <c r="R109" s="63" t="s">
        <v>113</v>
      </c>
      <c r="S109" s="64" t="str">
        <f>VLOOKUP(FindRates5[[#This Row],[FromCode]],$A$2:$B$14,2,FALSE)</f>
        <v>NE Spit</v>
      </c>
      <c r="T109" s="65" t="str">
        <f>VLOOKUP(FindRates5[[#This Row],[Tocode]],$A$2:$B$14,2,FALSE)</f>
        <v>Warp</v>
      </c>
      <c r="U109" s="66"/>
    </row>
    <row r="110" spans="5:21" x14ac:dyDescent="0.2">
      <c r="H110" s="62" t="s">
        <v>147</v>
      </c>
      <c r="I110" s="63" t="s">
        <v>51</v>
      </c>
      <c r="J110" s="63" t="s">
        <v>106</v>
      </c>
      <c r="K110" s="63">
        <v>0</v>
      </c>
      <c r="L110" s="63">
        <v>1</v>
      </c>
      <c r="M110" s="63">
        <v>0</v>
      </c>
      <c r="N110" s="63">
        <v>0</v>
      </c>
      <c r="O110" s="79">
        <v>1</v>
      </c>
      <c r="P110" s="64">
        <v>0</v>
      </c>
      <c r="Q110" s="63" t="s">
        <v>113</v>
      </c>
      <c r="R110" s="63" t="s">
        <v>108</v>
      </c>
      <c r="S110" s="64" t="str">
        <f>VLOOKUP(FindRates5[[#This Row],[FromCode]],$A$2:$B$14,2,FALSE)</f>
        <v>Warp</v>
      </c>
      <c r="T110" s="65" t="str">
        <f>VLOOKUP(FindRates5[[#This Row],[Tocode]],$A$2:$B$14,2,FALSE)</f>
        <v>Sector A</v>
      </c>
      <c r="U110" s="77" t="str">
        <f>IF(AND(FindRates5[[#This Row],[BLGSND]]&gt;0,$F$6="YES"),"B&amp;L Gravesend may not be charged if a Through Pilot is available.","")</f>
        <v/>
      </c>
    </row>
    <row r="111" spans="5:21" x14ac:dyDescent="0.2">
      <c r="H111" s="62" t="s">
        <v>148</v>
      </c>
      <c r="I111" s="63" t="s">
        <v>50</v>
      </c>
      <c r="J111" s="63" t="s">
        <v>59</v>
      </c>
      <c r="K111" s="63">
        <v>0</v>
      </c>
      <c r="L111" s="63">
        <v>1</v>
      </c>
      <c r="M111" s="63">
        <v>0</v>
      </c>
      <c r="N111" s="63">
        <v>0</v>
      </c>
      <c r="O111" s="63">
        <v>1</v>
      </c>
      <c r="P111" s="64">
        <v>0</v>
      </c>
      <c r="Q111" s="63" t="s">
        <v>113</v>
      </c>
      <c r="R111" s="63" t="s">
        <v>111</v>
      </c>
      <c r="S111" s="64" t="str">
        <f>VLOOKUP(FindRates5[[#This Row],[FromCode]],$A$2:$B$14,2,FALSE)</f>
        <v>Warp</v>
      </c>
      <c r="T111" s="65" t="str">
        <f>VLOOKUP(FindRates5[[#This Row],[Tocode]],$A$2:$B$14,2,FALSE)</f>
        <v>Sector B</v>
      </c>
      <c r="U111" s="66"/>
    </row>
    <row r="112" spans="5:21" x14ac:dyDescent="0.2">
      <c r="H112" s="62" t="s">
        <v>149</v>
      </c>
      <c r="I112" s="63" t="s">
        <v>50</v>
      </c>
      <c r="J112" s="63" t="s">
        <v>61</v>
      </c>
      <c r="K112" s="63">
        <v>0</v>
      </c>
      <c r="L112" s="63">
        <v>1</v>
      </c>
      <c r="M112" s="63">
        <v>0</v>
      </c>
      <c r="N112" s="63">
        <v>0</v>
      </c>
      <c r="O112" s="63">
        <v>1</v>
      </c>
      <c r="P112" s="64">
        <v>0</v>
      </c>
      <c r="Q112" s="63" t="s">
        <v>113</v>
      </c>
      <c r="R112" s="63" t="s">
        <v>115</v>
      </c>
      <c r="S112" s="64" t="str">
        <f>VLOOKUP(FindRates5[[#This Row],[FromCode]],$A$2:$B$14,2,FALSE)</f>
        <v>Warp</v>
      </c>
      <c r="T112" s="65" t="str">
        <f>VLOOKUP(FindRates5[[#This Row],[Tocode]],$A$2:$B$14,2,FALSE)</f>
        <v>Sector C</v>
      </c>
      <c r="U112" s="66"/>
    </row>
    <row r="113" spans="8:21" x14ac:dyDescent="0.2">
      <c r="H113" s="62" t="str">
        <f>FindRates5[[#This Row],[FromCode]]&amp;FindRates5[[#This Row],[Tocode]]</f>
        <v>WD</v>
      </c>
      <c r="I113" s="63" t="s">
        <v>50</v>
      </c>
      <c r="J113" s="63" t="s">
        <v>63</v>
      </c>
      <c r="K113" s="64">
        <v>0</v>
      </c>
      <c r="L113" s="64">
        <v>1</v>
      </c>
      <c r="M113" s="64">
        <v>0</v>
      </c>
      <c r="N113" s="64">
        <v>0</v>
      </c>
      <c r="O113" s="64">
        <v>1</v>
      </c>
      <c r="P113" s="64">
        <v>0</v>
      </c>
      <c r="Q113" s="74" t="s">
        <v>113</v>
      </c>
      <c r="R113" s="74" t="s">
        <v>117</v>
      </c>
      <c r="S113" s="64" t="str">
        <f>VLOOKUP(FindRates5[[#This Row],[FromCode]],$A$2:$B$14,2,FALSE)</f>
        <v>Warp</v>
      </c>
      <c r="T113" s="65" t="str">
        <f>VLOOKUP(FindRates5[[#This Row],[Tocode]],$A$2:$B$14,2,FALSE)</f>
        <v>Sector D</v>
      </c>
      <c r="U113" s="66"/>
    </row>
    <row r="114" spans="8:21" x14ac:dyDescent="0.2">
      <c r="H114" s="62" t="str">
        <f>FindRates5[[#This Row],[FromCode]]&amp;FindRates5[[#This Row],[Tocode]]</f>
        <v>WG</v>
      </c>
      <c r="I114" s="63" t="s">
        <v>50</v>
      </c>
      <c r="J114" s="63" t="s">
        <v>106</v>
      </c>
      <c r="K114" s="63">
        <v>0</v>
      </c>
      <c r="L114" s="63">
        <v>1</v>
      </c>
      <c r="M114" s="63">
        <v>0</v>
      </c>
      <c r="N114" s="63">
        <v>0</v>
      </c>
      <c r="O114" s="63">
        <v>1</v>
      </c>
      <c r="P114" s="64">
        <v>0</v>
      </c>
      <c r="Q114" s="63" t="s">
        <v>113</v>
      </c>
      <c r="R114" s="63" t="s">
        <v>121</v>
      </c>
      <c r="S114" s="64" t="str">
        <f>VLOOKUP(FindRates5[[#This Row],[FromCode]],$A$2:$B$14,2,FALSE)</f>
        <v>Warp</v>
      </c>
      <c r="T114" s="65" t="str">
        <f>VLOOKUP(FindRates5[[#This Row],[Tocode]],$A$2:$B$14,2,FALSE)</f>
        <v>Gravesend</v>
      </c>
      <c r="U114" s="66"/>
    </row>
    <row r="115" spans="8:21" x14ac:dyDescent="0.2">
      <c r="H115" s="62" t="str">
        <f>FindRates5[[#This Row],[FromCode]]&amp;FindRates5[[#This Row],[Tocode]]</f>
        <v>WT</v>
      </c>
      <c r="I115" s="63" t="s">
        <v>50</v>
      </c>
      <c r="J115" s="63" t="s">
        <v>106</v>
      </c>
      <c r="K115" s="63">
        <v>0</v>
      </c>
      <c r="L115" s="63">
        <v>1</v>
      </c>
      <c r="M115" s="63">
        <v>0</v>
      </c>
      <c r="N115" s="63">
        <v>0</v>
      </c>
      <c r="O115" s="63">
        <v>0</v>
      </c>
      <c r="P115" s="63">
        <v>0</v>
      </c>
      <c r="Q115" s="74" t="s">
        <v>113</v>
      </c>
      <c r="R115" s="74" t="s">
        <v>124</v>
      </c>
      <c r="S115" s="75" t="str">
        <f>VLOOKUP(FindRates5[[#This Row],[FromCode]],$A$2:$B$14,2,FALSE)</f>
        <v>Warp</v>
      </c>
      <c r="T115" s="76" t="str">
        <f>VLOOKUP(FindRates5[[#This Row],[Tocode]],$A$2:$B$14,2,FALSE)</f>
        <v>Tilbury2</v>
      </c>
      <c r="U115" s="66"/>
    </row>
    <row r="116" spans="8:21" x14ac:dyDescent="0.2">
      <c r="H116" s="62" t="s">
        <v>150</v>
      </c>
      <c r="I116" s="63" t="s">
        <v>44</v>
      </c>
      <c r="J116" s="63" t="s">
        <v>106</v>
      </c>
      <c r="K116" s="63">
        <v>0</v>
      </c>
      <c r="L116" s="63">
        <v>1</v>
      </c>
      <c r="M116" s="63">
        <v>0</v>
      </c>
      <c r="N116" s="63">
        <v>1</v>
      </c>
      <c r="O116" s="63">
        <v>0</v>
      </c>
      <c r="P116" s="64">
        <v>0</v>
      </c>
      <c r="Q116" s="63" t="s">
        <v>113</v>
      </c>
      <c r="R116" s="63" t="s">
        <v>109</v>
      </c>
      <c r="S116" s="64" t="str">
        <f>VLOOKUP(FindRates5[[#This Row],[FromCode]],$A$2:$B$14,2,FALSE)</f>
        <v>Warp</v>
      </c>
      <c r="T116" s="65" t="str">
        <f>VLOOKUP(FindRates5[[#This Row],[Tocode]],$A$2:$B$14,2,FALSE)</f>
        <v>Sunk</v>
      </c>
      <c r="U116" s="66"/>
    </row>
    <row r="117" spans="8:21" x14ac:dyDescent="0.2">
      <c r="H117" s="62" t="str">
        <f>FindRates5[[#This Row],[FromCode]]&amp;FindRates5[[#This Row],[Tocode]]</f>
        <v>WM</v>
      </c>
      <c r="I117" s="63" t="s">
        <v>107</v>
      </c>
      <c r="J117" s="63" t="s">
        <v>106</v>
      </c>
      <c r="K117" s="63">
        <v>0</v>
      </c>
      <c r="L117" s="63">
        <v>1</v>
      </c>
      <c r="M117" s="80">
        <v>1</v>
      </c>
      <c r="N117" s="63">
        <v>0</v>
      </c>
      <c r="O117" s="63">
        <v>0</v>
      </c>
      <c r="P117" s="64">
        <v>0</v>
      </c>
      <c r="Q117" s="63" t="s">
        <v>113</v>
      </c>
      <c r="R117" s="63" t="s">
        <v>116</v>
      </c>
      <c r="S117" s="64" t="str">
        <f>VLOOKUP(FindRates5[[#This Row],[FromCode]],$A$2:$B$14,2,FALSE)</f>
        <v>Warp</v>
      </c>
      <c r="T117" s="65" t="str">
        <f>VLOOKUP(FindRates5[[#This Row],[Tocode]],$A$2:$B$14,2,FALSE)</f>
        <v>Medway</v>
      </c>
      <c r="U117" s="66"/>
    </row>
    <row r="118" spans="8:21" x14ac:dyDescent="0.2">
      <c r="H118" s="62" t="str">
        <f>FindRates5[[#This Row],[FromCode]]&amp;FindRates5[[#This Row],[Tocode]]</f>
        <v>WO</v>
      </c>
      <c r="I118" s="63" t="s">
        <v>47</v>
      </c>
      <c r="J118" s="63" t="s">
        <v>106</v>
      </c>
      <c r="K118" s="63">
        <v>0</v>
      </c>
      <c r="L118" s="63">
        <v>1</v>
      </c>
      <c r="M118" s="63">
        <v>0</v>
      </c>
      <c r="N118" s="63">
        <v>0</v>
      </c>
      <c r="O118" s="63">
        <v>0</v>
      </c>
      <c r="P118" s="63">
        <v>0</v>
      </c>
      <c r="Q118" s="63" t="s">
        <v>113</v>
      </c>
      <c r="R118" s="63" t="s">
        <v>119</v>
      </c>
      <c r="S118" s="64" t="str">
        <f>VLOOKUP(FindRates5[[#This Row],[FromCode]],$A$2:$B$14,2,FALSE)</f>
        <v>Warp</v>
      </c>
      <c r="T118" s="65" t="str">
        <f>VLOOKUP(FindRates5[[#This Row],[Tocode]],$A$2:$B$14,2,FALSE)</f>
        <v>Oil Terminal</v>
      </c>
      <c r="U118" s="66"/>
    </row>
    <row r="119" spans="8:21" x14ac:dyDescent="0.2">
      <c r="H119" s="62" t="str">
        <f>FindRates5[[#This Row],[FromCode]]&amp;FindRates5[[#This Row],[Tocode]]</f>
        <v>WZ</v>
      </c>
      <c r="I119" s="63" t="s">
        <v>47</v>
      </c>
      <c r="J119" s="63" t="s">
        <v>106</v>
      </c>
      <c r="K119" s="63">
        <v>0</v>
      </c>
      <c r="L119" s="63">
        <v>1</v>
      </c>
      <c r="M119" s="63">
        <v>0</v>
      </c>
      <c r="N119" s="63">
        <v>0</v>
      </c>
      <c r="O119" s="63">
        <v>0</v>
      </c>
      <c r="P119" s="63">
        <v>1</v>
      </c>
      <c r="Q119" s="63" t="s">
        <v>113</v>
      </c>
      <c r="R119" s="63" t="s">
        <v>123</v>
      </c>
      <c r="S119" s="75" t="str">
        <f>VLOOKUP(FindRates5[[#This Row],[FromCode]],$A$2:$B$14,2,FALSE)</f>
        <v>Warp</v>
      </c>
      <c r="T119" s="76" t="str">
        <f>VLOOKUP(FindRates5[[#This Row],[Tocode]],$A$2:$B$14,2,FALSE)</f>
        <v>Chapmans Anchor</v>
      </c>
      <c r="U119" s="87"/>
    </row>
    <row r="120" spans="8:21" x14ac:dyDescent="0.2">
      <c r="H120" s="62" t="s">
        <v>151</v>
      </c>
      <c r="I120" s="63" t="s">
        <v>39</v>
      </c>
      <c r="J120" s="63" t="s">
        <v>106</v>
      </c>
      <c r="K120" s="63">
        <v>1</v>
      </c>
      <c r="L120" s="63">
        <v>1</v>
      </c>
      <c r="M120" s="63">
        <v>0</v>
      </c>
      <c r="N120" s="63">
        <v>0</v>
      </c>
      <c r="O120" s="63">
        <v>0</v>
      </c>
      <c r="P120" s="63">
        <v>0</v>
      </c>
      <c r="Q120" s="63" t="s">
        <v>113</v>
      </c>
      <c r="R120" s="63" t="s">
        <v>104</v>
      </c>
      <c r="S120" s="64" t="str">
        <f>VLOOKUP(FindRates5[[#This Row],[FromCode]],$A$2:$B$14,2,FALSE)</f>
        <v>Warp</v>
      </c>
      <c r="T120" s="65" t="str">
        <f>VLOOKUP(FindRates5[[#This Row],[Tocode]],$A$2:$B$14,2,FALSE)</f>
        <v>NE Spit</v>
      </c>
      <c r="U120" s="66"/>
    </row>
    <row r="121" spans="8:21" x14ac:dyDescent="0.2">
      <c r="H121" s="62" t="str">
        <f>FindRates5[[#This Row],[FromCode]]&amp;FindRates5[[#This Row],[Tocode]]</f>
        <v>WW</v>
      </c>
      <c r="I121" s="63" t="s">
        <v>107</v>
      </c>
      <c r="J121" s="63" t="s">
        <v>106</v>
      </c>
      <c r="K121" s="63">
        <v>0</v>
      </c>
      <c r="L121" s="63">
        <v>2</v>
      </c>
      <c r="M121" s="63">
        <v>0</v>
      </c>
      <c r="N121" s="63">
        <v>0</v>
      </c>
      <c r="O121" s="63">
        <v>0</v>
      </c>
      <c r="P121" s="63">
        <v>0</v>
      </c>
      <c r="Q121" s="63" t="s">
        <v>113</v>
      </c>
      <c r="R121" s="63" t="s">
        <v>113</v>
      </c>
      <c r="S121" s="64" t="str">
        <f>VLOOKUP(FindRates5[[#This Row],[FromCode]],$A$2:$B$14,2,FALSE)</f>
        <v>Warp</v>
      </c>
      <c r="T121" s="65" t="str">
        <f>VLOOKUP(FindRates5[[#This Row],[Tocode]],$A$2:$B$14,2,FALSE)</f>
        <v>Warp</v>
      </c>
      <c r="U121" s="66"/>
    </row>
    <row r="122" spans="8:21" x14ac:dyDescent="0.2">
      <c r="H122" s="62" t="str">
        <f>FindRates5[[#This Row],[FromCode]]&amp;FindRates5[[#This Row],[Tocode]]</f>
        <v>ZA</v>
      </c>
      <c r="I122" s="63" t="s">
        <v>57</v>
      </c>
      <c r="J122" s="63" t="s">
        <v>106</v>
      </c>
      <c r="K122" s="63">
        <v>0</v>
      </c>
      <c r="L122" s="63">
        <v>0</v>
      </c>
      <c r="M122" s="63">
        <v>0</v>
      </c>
      <c r="N122" s="63">
        <v>0</v>
      </c>
      <c r="O122" s="91">
        <v>1</v>
      </c>
      <c r="P122" s="63">
        <v>1</v>
      </c>
      <c r="Q122" s="63" t="s">
        <v>123</v>
      </c>
      <c r="R122" s="63" t="s">
        <v>108</v>
      </c>
      <c r="S122" s="75" t="str">
        <f>VLOOKUP(FindRates5[[#This Row],[FromCode]],$A$2:$B$14,2,FALSE)</f>
        <v>Chapmans Anchor</v>
      </c>
      <c r="T122" s="76" t="str">
        <f>VLOOKUP(FindRates5[[#This Row],[Tocode]],$A$2:$B$14,2,FALSE)</f>
        <v>Sector A</v>
      </c>
      <c r="U122" s="77" t="str">
        <f>IF(AND(FindRates5[[#This Row],[BLGSND]]&gt;0,$F$6="YES"),"B&amp;L Gravesend may not be charged if a Through Pilot is available.","")</f>
        <v/>
      </c>
    </row>
    <row r="123" spans="8:21" x14ac:dyDescent="0.2">
      <c r="H123" s="62" t="str">
        <f>FindRates5[[#This Row],[FromCode]]&amp;FindRates5[[#This Row],[Tocode]]</f>
        <v>ZB</v>
      </c>
      <c r="I123" s="63" t="s">
        <v>56</v>
      </c>
      <c r="J123" s="63" t="s">
        <v>59</v>
      </c>
      <c r="K123" s="63">
        <v>0</v>
      </c>
      <c r="L123" s="63">
        <v>0</v>
      </c>
      <c r="M123" s="63">
        <v>0</v>
      </c>
      <c r="N123" s="63">
        <v>0</v>
      </c>
      <c r="O123" s="64">
        <v>1</v>
      </c>
      <c r="P123" s="63">
        <v>1</v>
      </c>
      <c r="Q123" s="63" t="s">
        <v>123</v>
      </c>
      <c r="R123" s="63" t="s">
        <v>111</v>
      </c>
      <c r="S123" s="75" t="str">
        <f>VLOOKUP(FindRates5[[#This Row],[FromCode]],$A$2:$B$14,2,FALSE)</f>
        <v>Chapmans Anchor</v>
      </c>
      <c r="T123" s="76" t="str">
        <f>VLOOKUP(FindRates5[[#This Row],[Tocode]],$A$2:$B$14,2,FALSE)</f>
        <v>Sector B</v>
      </c>
      <c r="U123" s="87"/>
    </row>
    <row r="124" spans="8:21" x14ac:dyDescent="0.2">
      <c r="H124" s="62" t="str">
        <f>FindRates5[[#This Row],[FromCode]]&amp;FindRates5[[#This Row],[Tocode]]</f>
        <v>ZC</v>
      </c>
      <c r="I124" s="63" t="s">
        <v>56</v>
      </c>
      <c r="J124" s="63" t="s">
        <v>61</v>
      </c>
      <c r="K124" s="63">
        <v>0</v>
      </c>
      <c r="L124" s="63">
        <v>0</v>
      </c>
      <c r="M124" s="63">
        <v>0</v>
      </c>
      <c r="N124" s="63">
        <v>0</v>
      </c>
      <c r="O124" s="64">
        <v>1</v>
      </c>
      <c r="P124" s="63">
        <v>1</v>
      </c>
      <c r="Q124" s="63" t="s">
        <v>123</v>
      </c>
      <c r="R124" s="63" t="s">
        <v>115</v>
      </c>
      <c r="S124" s="75" t="str">
        <f>VLOOKUP(FindRates5[[#This Row],[FromCode]],$A$2:$B$14,2,FALSE)</f>
        <v>Chapmans Anchor</v>
      </c>
      <c r="T124" s="76" t="str">
        <f>VLOOKUP(FindRates5[[#This Row],[Tocode]],$A$2:$B$14,2,FALSE)</f>
        <v>Sector C</v>
      </c>
      <c r="U124" s="87"/>
    </row>
    <row r="125" spans="8:21" x14ac:dyDescent="0.2">
      <c r="H125" s="62" t="str">
        <f>FindRates5[[#This Row],[FromCode]]&amp;FindRates5[[#This Row],[Tocode]]</f>
        <v>ZD</v>
      </c>
      <c r="I125" s="63" t="s">
        <v>56</v>
      </c>
      <c r="J125" s="63" t="s">
        <v>63</v>
      </c>
      <c r="K125" s="63">
        <v>0</v>
      </c>
      <c r="L125" s="63">
        <v>0</v>
      </c>
      <c r="M125" s="63">
        <v>0</v>
      </c>
      <c r="N125" s="63">
        <v>0</v>
      </c>
      <c r="O125" s="64">
        <v>1</v>
      </c>
      <c r="P125" s="63">
        <v>1</v>
      </c>
      <c r="Q125" s="63" t="s">
        <v>123</v>
      </c>
      <c r="R125" s="63" t="s">
        <v>117</v>
      </c>
      <c r="S125" s="75" t="str">
        <f>VLOOKUP(FindRates5[[#This Row],[FromCode]],$A$2:$B$14,2,FALSE)</f>
        <v>Chapmans Anchor</v>
      </c>
      <c r="T125" s="76" t="str">
        <f>VLOOKUP(FindRates5[[#This Row],[Tocode]],$A$2:$B$14,2,FALSE)</f>
        <v>Sector D</v>
      </c>
      <c r="U125" s="87"/>
    </row>
    <row r="126" spans="8:21" x14ac:dyDescent="0.2">
      <c r="H126" s="62" t="str">
        <f>FindRates5[[#This Row],[FromCode]]&amp;FindRates5[[#This Row],[Tocode]]</f>
        <v>ZG</v>
      </c>
      <c r="I126" s="63" t="s">
        <v>56</v>
      </c>
      <c r="J126" s="63" t="s">
        <v>106</v>
      </c>
      <c r="K126" s="63">
        <v>0</v>
      </c>
      <c r="L126" s="63">
        <v>0</v>
      </c>
      <c r="M126" s="63">
        <v>0</v>
      </c>
      <c r="N126" s="63">
        <v>0</v>
      </c>
      <c r="O126" s="64">
        <v>1</v>
      </c>
      <c r="P126" s="63">
        <v>1</v>
      </c>
      <c r="Q126" s="63" t="s">
        <v>123</v>
      </c>
      <c r="R126" s="63" t="s">
        <v>121</v>
      </c>
      <c r="S126" s="75" t="str">
        <f>VLOOKUP(FindRates5[[#This Row],[FromCode]],$A$2:$B$14,2,FALSE)</f>
        <v>Chapmans Anchor</v>
      </c>
      <c r="T126" s="76" t="str">
        <f>VLOOKUP(FindRates5[[#This Row],[Tocode]],$A$2:$B$14,2,FALSE)</f>
        <v>Gravesend</v>
      </c>
      <c r="U126" s="87"/>
    </row>
    <row r="127" spans="8:21" x14ac:dyDescent="0.2">
      <c r="H127" s="62" t="str">
        <f>FindRates5[[#This Row],[FromCode]]&amp;FindRates5[[#This Row],[Tocode]]</f>
        <v>ZT</v>
      </c>
      <c r="I127" s="63" t="s">
        <v>56</v>
      </c>
      <c r="J127" s="63" t="s">
        <v>106</v>
      </c>
      <c r="K127" s="63">
        <v>0</v>
      </c>
      <c r="L127" s="63">
        <v>0</v>
      </c>
      <c r="M127" s="63">
        <v>0</v>
      </c>
      <c r="N127" s="63">
        <v>0</v>
      </c>
      <c r="O127" s="64">
        <v>0</v>
      </c>
      <c r="P127" s="63">
        <v>1</v>
      </c>
      <c r="Q127" s="74" t="s">
        <v>123</v>
      </c>
      <c r="R127" s="74" t="s">
        <v>124</v>
      </c>
      <c r="S127" s="75" t="str">
        <f>VLOOKUP(FindRates5[[#This Row],[FromCode]],$A$2:$B$14,2,FALSE)</f>
        <v>Chapmans Anchor</v>
      </c>
      <c r="T127" s="76" t="str">
        <f>VLOOKUP(FindRates5[[#This Row],[Tocode]],$A$2:$B$14,2,FALSE)</f>
        <v>Tilbury2</v>
      </c>
      <c r="U127" s="87"/>
    </row>
    <row r="128" spans="8:21" x14ac:dyDescent="0.2">
      <c r="H128" s="62" t="str">
        <f>FindRates5[[#This Row],[FromCode]]&amp;FindRates5[[#This Row],[Tocode]]</f>
        <v>ZH</v>
      </c>
      <c r="I128" s="63" t="s">
        <v>43</v>
      </c>
      <c r="J128" s="63" t="s">
        <v>106</v>
      </c>
      <c r="K128" s="63">
        <v>0</v>
      </c>
      <c r="L128" s="63">
        <v>0</v>
      </c>
      <c r="M128" s="63">
        <v>0</v>
      </c>
      <c r="N128" s="63">
        <v>1</v>
      </c>
      <c r="O128" s="63">
        <v>0</v>
      </c>
      <c r="P128" s="63">
        <v>1</v>
      </c>
      <c r="Q128" s="63" t="s">
        <v>123</v>
      </c>
      <c r="R128" s="63" t="s">
        <v>109</v>
      </c>
      <c r="S128" s="75" t="str">
        <f>VLOOKUP(FindRates5[[#This Row],[FromCode]],$A$2:$B$14,2,FALSE)</f>
        <v>Chapmans Anchor</v>
      </c>
      <c r="T128" s="76" t="str">
        <f>VLOOKUP(FindRates5[[#This Row],[Tocode]],$A$2:$B$14,2,FALSE)</f>
        <v>Sunk</v>
      </c>
      <c r="U128" s="87"/>
    </row>
    <row r="129" spans="8:21" x14ac:dyDescent="0.2">
      <c r="H129" s="62" t="str">
        <f>FindRates5[[#This Row],[FromCode]]&amp;FindRates5[[#This Row],[Tocode]]</f>
        <v>ZM</v>
      </c>
      <c r="I129" s="63" t="s">
        <v>54</v>
      </c>
      <c r="J129" s="63" t="s">
        <v>106</v>
      </c>
      <c r="K129" s="63">
        <v>0</v>
      </c>
      <c r="L129" s="63">
        <v>0</v>
      </c>
      <c r="M129" s="63">
        <v>1</v>
      </c>
      <c r="N129" s="63">
        <v>0</v>
      </c>
      <c r="O129" s="63">
        <v>0</v>
      </c>
      <c r="P129" s="63">
        <v>1</v>
      </c>
      <c r="Q129" s="63" t="s">
        <v>123</v>
      </c>
      <c r="R129" s="63" t="s">
        <v>116</v>
      </c>
      <c r="S129" s="75" t="str">
        <f>VLOOKUP(FindRates5[[#This Row],[FromCode]],$A$2:$B$14,2,FALSE)</f>
        <v>Chapmans Anchor</v>
      </c>
      <c r="T129" s="76" t="str">
        <f>VLOOKUP(FindRates5[[#This Row],[Tocode]],$A$2:$B$14,2,FALSE)</f>
        <v>Medway</v>
      </c>
      <c r="U129" s="87"/>
    </row>
    <row r="130" spans="8:21" x14ac:dyDescent="0.2">
      <c r="H130" s="62" t="str">
        <f>FindRates5[[#This Row],[FromCode]]&amp;FindRates5[[#This Row],[Tocode]]</f>
        <v>ZO</v>
      </c>
      <c r="I130" s="63" t="s">
        <v>107</v>
      </c>
      <c r="J130" s="63" t="s">
        <v>106</v>
      </c>
      <c r="K130" s="63">
        <v>0</v>
      </c>
      <c r="L130" s="63">
        <v>0</v>
      </c>
      <c r="M130" s="63">
        <v>0</v>
      </c>
      <c r="N130" s="63">
        <v>0</v>
      </c>
      <c r="O130" s="63">
        <v>0</v>
      </c>
      <c r="P130" s="63">
        <v>1</v>
      </c>
      <c r="Q130" s="63" t="s">
        <v>123</v>
      </c>
      <c r="R130" s="63" t="s">
        <v>119</v>
      </c>
      <c r="S130" s="75" t="str">
        <f>VLOOKUP(FindRates5[[#This Row],[FromCode]],$A$2:$B$14,2,FALSE)</f>
        <v>Chapmans Anchor</v>
      </c>
      <c r="T130" s="76" t="str">
        <f>VLOOKUP(FindRates5[[#This Row],[Tocode]],$A$2:$B$14,2,FALSE)</f>
        <v>Oil Terminal</v>
      </c>
      <c r="U130" s="87"/>
    </row>
    <row r="131" spans="8:21" x14ac:dyDescent="0.2">
      <c r="H131" s="62" t="str">
        <f>FindRates5[[#This Row],[FromCode]]&amp;FindRates5[[#This Row],[Tocode]]</f>
        <v>ZZ</v>
      </c>
      <c r="I131" s="63" t="s">
        <v>107</v>
      </c>
      <c r="J131" s="63" t="s">
        <v>106</v>
      </c>
      <c r="K131" s="63">
        <v>0</v>
      </c>
      <c r="L131" s="63">
        <v>0</v>
      </c>
      <c r="M131" s="63">
        <v>0</v>
      </c>
      <c r="N131" s="63">
        <v>0</v>
      </c>
      <c r="O131" s="63">
        <v>0</v>
      </c>
      <c r="P131" s="63">
        <v>2</v>
      </c>
      <c r="Q131" s="63" t="s">
        <v>123</v>
      </c>
      <c r="R131" s="63" t="s">
        <v>123</v>
      </c>
      <c r="S131" s="75" t="str">
        <f>VLOOKUP(FindRates5[[#This Row],[FromCode]],$A$2:$B$14,2,FALSE)</f>
        <v>Chapmans Anchor</v>
      </c>
      <c r="T131" s="76" t="str">
        <f>VLOOKUP(FindRates5[[#This Row],[Tocode]],$A$2:$B$14,2,FALSE)</f>
        <v>Chapmans Anchor</v>
      </c>
      <c r="U131" s="87"/>
    </row>
    <row r="132" spans="8:21" x14ac:dyDescent="0.2">
      <c r="H132" s="62" t="str">
        <f>FindRates5[[#This Row],[FromCode]]&amp;FindRates5[[#This Row],[Tocode]]</f>
        <v>ZR</v>
      </c>
      <c r="I132" s="63" t="s">
        <v>37</v>
      </c>
      <c r="J132" s="63" t="s">
        <v>106</v>
      </c>
      <c r="K132" s="63">
        <v>1</v>
      </c>
      <c r="L132" s="63">
        <v>0</v>
      </c>
      <c r="M132" s="63">
        <v>0</v>
      </c>
      <c r="N132" s="63">
        <v>0</v>
      </c>
      <c r="O132" s="63">
        <v>0</v>
      </c>
      <c r="P132" s="63">
        <v>1</v>
      </c>
      <c r="Q132" s="63" t="s">
        <v>123</v>
      </c>
      <c r="R132" s="63" t="s">
        <v>104</v>
      </c>
      <c r="S132" s="75" t="str">
        <f>VLOOKUP(FindRates5[[#This Row],[FromCode]],$A$2:$B$14,2,FALSE)</f>
        <v>Chapmans Anchor</v>
      </c>
      <c r="T132" s="76" t="str">
        <f>VLOOKUP(FindRates5[[#This Row],[Tocode]],$A$2:$B$14,2,FALSE)</f>
        <v>NE Spit</v>
      </c>
      <c r="U132" s="87"/>
    </row>
    <row r="133" spans="8:21" x14ac:dyDescent="0.2">
      <c r="H133" s="62" t="str">
        <f>FindRates5[[#This Row],[FromCode]]&amp;FindRates5[[#This Row],[Tocode]]</f>
        <v>ZW</v>
      </c>
      <c r="I133" s="63" t="s">
        <v>47</v>
      </c>
      <c r="J133" s="63" t="s">
        <v>106</v>
      </c>
      <c r="K133" s="63">
        <v>0</v>
      </c>
      <c r="L133" s="63">
        <v>1</v>
      </c>
      <c r="M133" s="63">
        <v>0</v>
      </c>
      <c r="N133" s="63">
        <v>0</v>
      </c>
      <c r="O133" s="63">
        <v>0</v>
      </c>
      <c r="P133" s="63">
        <v>1</v>
      </c>
      <c r="Q133" s="63" t="s">
        <v>123</v>
      </c>
      <c r="R133" s="63" t="s">
        <v>113</v>
      </c>
      <c r="S133" s="75" t="str">
        <f>VLOOKUP(FindRates5[[#This Row],[FromCode]],$A$2:$B$14,2,FALSE)</f>
        <v>Chapmans Anchor</v>
      </c>
      <c r="T133" s="76" t="str">
        <f>VLOOKUP(FindRates5[[#This Row],[Tocode]],$A$2:$B$14,2,FALSE)</f>
        <v>Warp</v>
      </c>
      <c r="U133" s="87"/>
    </row>
    <row r="134" spans="8:21" x14ac:dyDescent="0.2">
      <c r="H134" s="62" t="str">
        <f>FindRates5[[#This Row],[FromCode]]&amp;FindRates5[[#This Row],[Tocode]]</f>
        <v>TA</v>
      </c>
      <c r="I134" s="63" t="s">
        <v>106</v>
      </c>
      <c r="J134" s="63" t="s">
        <v>58</v>
      </c>
      <c r="K134" s="63">
        <v>0</v>
      </c>
      <c r="L134" s="63">
        <v>0</v>
      </c>
      <c r="M134" s="63">
        <v>0</v>
      </c>
      <c r="N134" s="63">
        <v>0</v>
      </c>
      <c r="O134" s="63">
        <v>0</v>
      </c>
      <c r="P134" s="63">
        <v>0</v>
      </c>
      <c r="Q134" s="63" t="s">
        <v>124</v>
      </c>
      <c r="R134" s="63" t="s">
        <v>108</v>
      </c>
      <c r="S134" s="75" t="str">
        <f>VLOOKUP(FindRates5[[#This Row],[FromCode]],$A$2:$B$14,2,FALSE)</f>
        <v>Tilbury2</v>
      </c>
      <c r="T134" s="76" t="str">
        <f>VLOOKUP(FindRates5[[#This Row],[Tocode]],$A$2:$B$14,2,FALSE)</f>
        <v>Sector A</v>
      </c>
      <c r="U134" s="66"/>
    </row>
    <row r="135" spans="8:21" x14ac:dyDescent="0.2">
      <c r="H135" s="62" t="str">
        <f>FindRates5[[#This Row],[FromCode]]&amp;FindRates5[[#This Row],[Tocode]]</f>
        <v>TB</v>
      </c>
      <c r="I135" s="63" t="s">
        <v>106</v>
      </c>
      <c r="J135" s="63" t="s">
        <v>59</v>
      </c>
      <c r="K135" s="63">
        <v>0</v>
      </c>
      <c r="L135" s="63">
        <v>0</v>
      </c>
      <c r="M135" s="63">
        <v>0</v>
      </c>
      <c r="N135" s="63">
        <v>0</v>
      </c>
      <c r="O135" s="63">
        <v>0</v>
      </c>
      <c r="P135" s="63">
        <v>0</v>
      </c>
      <c r="Q135" s="63" t="s">
        <v>124</v>
      </c>
      <c r="R135" s="63" t="s">
        <v>111</v>
      </c>
      <c r="S135" s="75" t="str">
        <f>VLOOKUP(FindRates5[[#This Row],[FromCode]],$A$2:$B$14,2,FALSE)</f>
        <v>Tilbury2</v>
      </c>
      <c r="T135" s="76" t="str">
        <f>VLOOKUP(FindRates5[[#This Row],[Tocode]],$A$2:$B$14,2,FALSE)</f>
        <v>Sector B</v>
      </c>
      <c r="U135" s="66"/>
    </row>
    <row r="136" spans="8:21" x14ac:dyDescent="0.2">
      <c r="H136" s="62" t="str">
        <f>FindRates5[[#This Row],[FromCode]]&amp;FindRates5[[#This Row],[Tocode]]</f>
        <v>TC</v>
      </c>
      <c r="I136" s="63" t="s">
        <v>106</v>
      </c>
      <c r="J136" s="63" t="s">
        <v>61</v>
      </c>
      <c r="K136" s="63">
        <v>0</v>
      </c>
      <c r="L136" s="63">
        <v>0</v>
      </c>
      <c r="M136" s="63">
        <v>0</v>
      </c>
      <c r="N136" s="63">
        <v>0</v>
      </c>
      <c r="O136" s="63">
        <v>0</v>
      </c>
      <c r="P136" s="63">
        <v>0</v>
      </c>
      <c r="Q136" s="63" t="s">
        <v>124</v>
      </c>
      <c r="R136" s="63" t="s">
        <v>115</v>
      </c>
      <c r="S136" s="75" t="str">
        <f>VLOOKUP(FindRates5[[#This Row],[FromCode]],$A$2:$B$14,2,FALSE)</f>
        <v>Tilbury2</v>
      </c>
      <c r="T136" s="76" t="str">
        <f>VLOOKUP(FindRates5[[#This Row],[Tocode]],$A$2:$B$14,2,FALSE)</f>
        <v>Sector C</v>
      </c>
      <c r="U136" s="66"/>
    </row>
    <row r="137" spans="8:21" x14ac:dyDescent="0.2">
      <c r="H137" s="62" t="str">
        <f>FindRates5[[#This Row],[FromCode]]&amp;FindRates5[[#This Row],[Tocode]]</f>
        <v>TD</v>
      </c>
      <c r="I137" s="63" t="s">
        <v>106</v>
      </c>
      <c r="J137" s="63" t="s">
        <v>63</v>
      </c>
      <c r="K137" s="64">
        <v>0</v>
      </c>
      <c r="L137" s="63">
        <v>0</v>
      </c>
      <c r="M137" s="64">
        <v>0</v>
      </c>
      <c r="N137" s="64">
        <v>0</v>
      </c>
      <c r="O137" s="64">
        <v>0</v>
      </c>
      <c r="P137" s="63">
        <v>0</v>
      </c>
      <c r="Q137" s="63" t="s">
        <v>124</v>
      </c>
      <c r="R137" s="63" t="s">
        <v>117</v>
      </c>
      <c r="S137" s="75" t="str">
        <f>VLOOKUP(FindRates5[[#This Row],[FromCode]],$A$2:$B$14,2,FALSE)</f>
        <v>Tilbury2</v>
      </c>
      <c r="T137" s="76" t="str">
        <f>VLOOKUP(FindRates5[[#This Row],[Tocode]],$A$2:$B$14,2,FALSE)</f>
        <v>Sector D</v>
      </c>
      <c r="U137" s="66"/>
    </row>
    <row r="138" spans="8:21" x14ac:dyDescent="0.2">
      <c r="H138" s="62" t="str">
        <f>FindRates5[[#This Row],[FromCode]]&amp;FindRates5[[#This Row],[Tocode]]</f>
        <v>TG</v>
      </c>
      <c r="I138" s="63" t="s">
        <v>106</v>
      </c>
      <c r="J138" s="63" t="s">
        <v>107</v>
      </c>
      <c r="K138" s="63">
        <v>0</v>
      </c>
      <c r="L138" s="63">
        <v>0</v>
      </c>
      <c r="M138" s="63">
        <v>0</v>
      </c>
      <c r="N138" s="63">
        <v>0</v>
      </c>
      <c r="O138" s="63">
        <v>1</v>
      </c>
      <c r="P138" s="63">
        <v>0</v>
      </c>
      <c r="Q138" s="63" t="s">
        <v>124</v>
      </c>
      <c r="R138" s="63" t="s">
        <v>121</v>
      </c>
      <c r="S138" s="75" t="str">
        <f>VLOOKUP(FindRates5[[#This Row],[FromCode]],$A$2:$B$14,2,FALSE)</f>
        <v>Tilbury2</v>
      </c>
      <c r="T138" s="76" t="str">
        <f>VLOOKUP(FindRates5[[#This Row],[Tocode]],$A$2:$B$14,2,FALSE)</f>
        <v>Gravesend</v>
      </c>
      <c r="U138" s="66"/>
    </row>
    <row r="139" spans="8:21" x14ac:dyDescent="0.2">
      <c r="H139" s="62" t="str">
        <f>FindRates5[[#This Row],[FromCode]]&amp;FindRates5[[#This Row],[Tocode]]</f>
        <v>TT</v>
      </c>
      <c r="I139" s="63" t="s">
        <v>106</v>
      </c>
      <c r="J139" s="63" t="s">
        <v>107</v>
      </c>
      <c r="K139" s="63">
        <v>0</v>
      </c>
      <c r="L139" s="63">
        <v>0</v>
      </c>
      <c r="M139" s="63">
        <v>0</v>
      </c>
      <c r="N139" s="63">
        <v>0</v>
      </c>
      <c r="O139" s="63">
        <v>0</v>
      </c>
      <c r="P139" s="63">
        <v>0</v>
      </c>
      <c r="Q139" s="63" t="s">
        <v>124</v>
      </c>
      <c r="R139" s="74" t="s">
        <v>124</v>
      </c>
      <c r="S139" s="75" t="str">
        <f>VLOOKUP(FindRates5[[#This Row],[FromCode]],$A$2:$B$14,2,FALSE)</f>
        <v>Tilbury2</v>
      </c>
      <c r="T139" s="76" t="str">
        <f>VLOOKUP(FindRates5[[#This Row],[Tocode]],$A$2:$B$14,2,FALSE)</f>
        <v>Tilbury2</v>
      </c>
      <c r="U139" s="66"/>
    </row>
    <row r="140" spans="8:21" x14ac:dyDescent="0.2">
      <c r="H140" s="62" t="str">
        <f>FindRates5[[#This Row],[FromCode]]&amp;FindRates5[[#This Row],[Tocode]]</f>
        <v>TH</v>
      </c>
      <c r="I140" s="63" t="s">
        <v>45</v>
      </c>
      <c r="J140" s="63" t="s">
        <v>106</v>
      </c>
      <c r="K140" s="63">
        <v>0</v>
      </c>
      <c r="L140" s="63">
        <v>0</v>
      </c>
      <c r="M140" s="63">
        <v>0</v>
      </c>
      <c r="N140" s="63">
        <v>1</v>
      </c>
      <c r="O140" s="63">
        <v>0</v>
      </c>
      <c r="P140" s="63">
        <v>0</v>
      </c>
      <c r="Q140" s="63" t="s">
        <v>124</v>
      </c>
      <c r="R140" s="63" t="s">
        <v>109</v>
      </c>
      <c r="S140" s="75" t="str">
        <f>VLOOKUP(FindRates5[[#This Row],[FromCode]],$A$2:$B$14,2,FALSE)</f>
        <v>Tilbury2</v>
      </c>
      <c r="T140" s="76" t="str">
        <f>VLOOKUP(FindRates5[[#This Row],[Tocode]],$A$2:$B$14,2,FALSE)</f>
        <v>Sunk</v>
      </c>
      <c r="U140" s="66"/>
    </row>
    <row r="141" spans="8:21" x14ac:dyDescent="0.2">
      <c r="H141" s="62" t="str">
        <f>FindRates5[[#This Row],[FromCode]]&amp;FindRates5[[#This Row],[Tocode]]</f>
        <v>TM</v>
      </c>
      <c r="I141" s="63" t="s">
        <v>52</v>
      </c>
      <c r="J141" s="63" t="s">
        <v>106</v>
      </c>
      <c r="K141" s="63">
        <v>0</v>
      </c>
      <c r="L141" s="63">
        <v>0</v>
      </c>
      <c r="M141" s="80">
        <v>1</v>
      </c>
      <c r="N141" s="63">
        <v>0</v>
      </c>
      <c r="O141" s="63">
        <v>0</v>
      </c>
      <c r="P141" s="63">
        <v>0</v>
      </c>
      <c r="Q141" s="63" t="s">
        <v>124</v>
      </c>
      <c r="R141" s="63" t="s">
        <v>116</v>
      </c>
      <c r="S141" s="75" t="str">
        <f>VLOOKUP(FindRates5[[#This Row],[FromCode]],$A$2:$B$14,2,FALSE)</f>
        <v>Tilbury2</v>
      </c>
      <c r="T141" s="76" t="str">
        <f>VLOOKUP(FindRates5[[#This Row],[Tocode]],$A$2:$B$14,2,FALSE)</f>
        <v>Medway</v>
      </c>
      <c r="U141" s="66"/>
    </row>
    <row r="142" spans="8:21" x14ac:dyDescent="0.2">
      <c r="H142" s="62" t="str">
        <f>FindRates5[[#This Row],[FromCode]]&amp;FindRates5[[#This Row],[Tocode]]</f>
        <v>TO</v>
      </c>
      <c r="I142" s="63" t="s">
        <v>56</v>
      </c>
      <c r="J142" s="63" t="s">
        <v>106</v>
      </c>
      <c r="K142" s="63">
        <v>0</v>
      </c>
      <c r="L142" s="63">
        <v>0</v>
      </c>
      <c r="M142" s="63">
        <v>0</v>
      </c>
      <c r="N142" s="63">
        <v>0</v>
      </c>
      <c r="O142" s="63">
        <v>0</v>
      </c>
      <c r="P142" s="63">
        <v>0</v>
      </c>
      <c r="Q142" s="63" t="s">
        <v>124</v>
      </c>
      <c r="R142" s="63" t="s">
        <v>119</v>
      </c>
      <c r="S142" s="75" t="str">
        <f>VLOOKUP(FindRates5[[#This Row],[FromCode]],$A$2:$B$14,2,FALSE)</f>
        <v>Tilbury2</v>
      </c>
      <c r="T142" s="76" t="str">
        <f>VLOOKUP(FindRates5[[#This Row],[Tocode]],$A$2:$B$14,2,FALSE)</f>
        <v>Oil Terminal</v>
      </c>
      <c r="U142" s="66"/>
    </row>
    <row r="143" spans="8:21" x14ac:dyDescent="0.2">
      <c r="H143" s="62" t="str">
        <f>FindRates5[[#This Row],[FromCode]]&amp;FindRates5[[#This Row],[Tocode]]</f>
        <v>TZ</v>
      </c>
      <c r="I143" s="63" t="s">
        <v>56</v>
      </c>
      <c r="J143" s="63" t="s">
        <v>106</v>
      </c>
      <c r="K143" s="63">
        <v>0</v>
      </c>
      <c r="L143" s="63">
        <v>0</v>
      </c>
      <c r="M143" s="63">
        <v>0</v>
      </c>
      <c r="N143" s="63">
        <v>0</v>
      </c>
      <c r="O143" s="64">
        <v>0</v>
      </c>
      <c r="P143" s="63">
        <v>1</v>
      </c>
      <c r="Q143" s="63" t="s">
        <v>124</v>
      </c>
      <c r="R143" s="63" t="s">
        <v>123</v>
      </c>
      <c r="S143" s="75" t="str">
        <f>VLOOKUP(FindRates5[[#This Row],[FromCode]],$A$2:$B$14,2,FALSE)</f>
        <v>Tilbury2</v>
      </c>
      <c r="T143" s="76" t="str">
        <f>VLOOKUP(FindRates5[[#This Row],[Tocode]],$A$2:$B$14,2,FALSE)</f>
        <v>Chapmans Anchor</v>
      </c>
      <c r="U143" s="66"/>
    </row>
    <row r="144" spans="8:21" x14ac:dyDescent="0.2">
      <c r="H144" s="62" t="str">
        <f>FindRates5[[#This Row],[FromCode]]&amp;FindRates5[[#This Row],[Tocode]]</f>
        <v>TR</v>
      </c>
      <c r="I144" s="63" t="s">
        <v>40</v>
      </c>
      <c r="J144" s="63" t="s">
        <v>106</v>
      </c>
      <c r="K144" s="63">
        <v>1</v>
      </c>
      <c r="L144" s="63">
        <v>0</v>
      </c>
      <c r="M144" s="63">
        <v>0</v>
      </c>
      <c r="N144" s="63">
        <v>0</v>
      </c>
      <c r="O144" s="63">
        <v>0</v>
      </c>
      <c r="P144" s="63">
        <v>0</v>
      </c>
      <c r="Q144" s="63" t="s">
        <v>124</v>
      </c>
      <c r="R144" s="63" t="s">
        <v>104</v>
      </c>
      <c r="S144" s="75" t="str">
        <f>VLOOKUP(FindRates5[[#This Row],[FromCode]],$A$2:$B$14,2,FALSE)</f>
        <v>Tilbury2</v>
      </c>
      <c r="T144" s="76" t="str">
        <f>VLOOKUP(FindRates5[[#This Row],[Tocode]],$A$2:$B$14,2,FALSE)</f>
        <v>NE Spit</v>
      </c>
      <c r="U144" s="66"/>
    </row>
    <row r="145" spans="3:21" x14ac:dyDescent="0.2">
      <c r="H145" s="92" t="str">
        <f>FindRates5[[#This Row],[FromCode]]&amp;FindRates5[[#This Row],[Tocode]]</f>
        <v>TW</v>
      </c>
      <c r="I145" s="63" t="s">
        <v>50</v>
      </c>
      <c r="J145" s="63" t="s">
        <v>106</v>
      </c>
      <c r="K145" s="63">
        <v>0</v>
      </c>
      <c r="L145" s="63">
        <v>1</v>
      </c>
      <c r="M145" s="63">
        <v>0</v>
      </c>
      <c r="N145" s="63">
        <v>0</v>
      </c>
      <c r="O145" s="63">
        <v>0</v>
      </c>
      <c r="P145" s="63">
        <v>0</v>
      </c>
      <c r="Q145" s="93" t="s">
        <v>124</v>
      </c>
      <c r="R145" s="93" t="s">
        <v>113</v>
      </c>
      <c r="S145" s="94" t="str">
        <f>VLOOKUP(FindRates5[[#This Row],[FromCode]],$A$2:$B$14,2,FALSE)</f>
        <v>Tilbury2</v>
      </c>
      <c r="T145" s="95" t="str">
        <f>VLOOKUP(FindRates5[[#This Row],[Tocode]],$A$2:$B$14,2,FALSE)</f>
        <v>Warp</v>
      </c>
      <c r="U145" s="96"/>
    </row>
    <row r="146" spans="3:21" x14ac:dyDescent="0.2">
      <c r="C146" s="3"/>
      <c r="H146" s="3"/>
      <c r="I146" s="3"/>
      <c r="J146" s="3"/>
      <c r="K146" s="3"/>
      <c r="L146" s="3"/>
      <c r="M146" s="3"/>
      <c r="N146" s="3"/>
      <c r="O146" s="3"/>
      <c r="P146" s="3"/>
      <c r="Q146" s="3"/>
      <c r="R146" s="3"/>
      <c r="T146" s="3"/>
      <c r="U146" s="3"/>
    </row>
    <row r="147" spans="3:21" x14ac:dyDescent="0.2">
      <c r="C147" s="3"/>
      <c r="H147" s="3"/>
      <c r="I147" s="3"/>
      <c r="J147" s="3"/>
      <c r="K147" s="3"/>
      <c r="L147" s="3"/>
      <c r="M147" s="3"/>
      <c r="N147" s="3"/>
      <c r="O147" s="3"/>
      <c r="P147" s="3"/>
      <c r="Q147" s="3"/>
      <c r="R147" s="3"/>
      <c r="T147" s="3"/>
      <c r="U147" s="3"/>
    </row>
    <row r="148" spans="3:21" x14ac:dyDescent="0.2">
      <c r="C148" s="3"/>
      <c r="H148" s="3"/>
      <c r="I148" s="3"/>
      <c r="J148" s="3"/>
      <c r="K148" s="3"/>
      <c r="L148" s="3"/>
      <c r="M148" s="3"/>
      <c r="N148" s="3"/>
      <c r="O148" s="3"/>
      <c r="P148" s="3"/>
      <c r="Q148" s="3"/>
      <c r="R148" s="3"/>
      <c r="T148" s="3"/>
      <c r="U148" s="3"/>
    </row>
    <row r="149" spans="3:21" x14ac:dyDescent="0.2">
      <c r="C149" s="3"/>
      <c r="H149" s="3"/>
      <c r="I149" s="3"/>
      <c r="J149" s="3"/>
      <c r="K149" s="3"/>
      <c r="L149" s="3"/>
      <c r="M149" s="3"/>
      <c r="N149" s="3"/>
      <c r="O149" s="3"/>
      <c r="P149" s="3"/>
      <c r="Q149" s="3"/>
      <c r="R149" s="3"/>
      <c r="T149" s="3"/>
      <c r="U149" s="3"/>
    </row>
    <row r="150" spans="3:21" x14ac:dyDescent="0.2">
      <c r="C150" s="3"/>
      <c r="H150" s="3"/>
      <c r="I150" s="3"/>
      <c r="J150" s="3"/>
      <c r="K150" s="3"/>
      <c r="L150" s="3"/>
      <c r="M150" s="3"/>
      <c r="N150" s="3"/>
      <c r="O150" s="3"/>
      <c r="P150" s="3"/>
      <c r="Q150" s="3"/>
      <c r="R150" s="3"/>
      <c r="T150" s="3"/>
      <c r="U150" s="3"/>
    </row>
    <row r="151" spans="3:21" x14ac:dyDescent="0.2">
      <c r="C151" s="3"/>
      <c r="H151" s="3"/>
      <c r="I151" s="3"/>
      <c r="J151" s="3"/>
      <c r="K151" s="3"/>
      <c r="L151" s="3"/>
      <c r="M151" s="3"/>
      <c r="N151" s="3"/>
      <c r="O151" s="3"/>
      <c r="P151" s="3"/>
      <c r="Q151" s="3"/>
      <c r="R151" s="3"/>
      <c r="T151" s="3"/>
      <c r="U151" s="3"/>
    </row>
    <row r="152" spans="3:21" x14ac:dyDescent="0.2">
      <c r="C152" s="3"/>
      <c r="H152" s="3"/>
      <c r="I152" s="3"/>
      <c r="J152" s="3"/>
      <c r="K152" s="3"/>
      <c r="L152" s="3"/>
      <c r="M152" s="3"/>
      <c r="N152" s="3"/>
      <c r="O152" s="3"/>
      <c r="P152" s="3"/>
      <c r="Q152" s="3"/>
      <c r="R152" s="3"/>
      <c r="T152" s="3"/>
      <c r="U152" s="3"/>
    </row>
    <row r="153" spans="3:21" x14ac:dyDescent="0.2">
      <c r="C153" s="3"/>
      <c r="H153" s="3"/>
      <c r="I153" s="3"/>
      <c r="J153" s="3"/>
      <c r="K153" s="3"/>
      <c r="L153" s="3"/>
      <c r="M153" s="3"/>
      <c r="N153" s="3"/>
      <c r="O153" s="3"/>
      <c r="P153" s="3"/>
      <c r="Q153" s="3"/>
      <c r="R153" s="3"/>
      <c r="T153" s="3"/>
      <c r="U153" s="3"/>
    </row>
    <row r="154" spans="3:21" x14ac:dyDescent="0.2">
      <c r="C154" s="3"/>
      <c r="H154" s="3"/>
      <c r="I154" s="3"/>
      <c r="J154" s="3"/>
      <c r="K154" s="3"/>
      <c r="L154" s="3"/>
      <c r="M154" s="3"/>
      <c r="N154" s="3"/>
      <c r="O154" s="3"/>
      <c r="P154" s="3"/>
      <c r="Q154" s="3"/>
      <c r="R154" s="3"/>
      <c r="T154" s="3"/>
      <c r="U154" s="3"/>
    </row>
    <row r="155" spans="3:21" x14ac:dyDescent="0.2">
      <c r="C155" s="3"/>
      <c r="H155" s="3"/>
      <c r="I155" s="3"/>
      <c r="J155" s="3"/>
      <c r="K155" s="3"/>
      <c r="L155" s="3"/>
      <c r="M155" s="3"/>
      <c r="N155" s="3"/>
      <c r="O155" s="3"/>
      <c r="P155" s="3"/>
      <c r="Q155" s="3"/>
      <c r="R155" s="3"/>
      <c r="T155" s="3"/>
      <c r="U155" s="3"/>
    </row>
    <row r="156" spans="3:21" x14ac:dyDescent="0.2">
      <c r="C156" s="3"/>
      <c r="H156" s="3"/>
      <c r="I156" s="3"/>
      <c r="J156" s="3"/>
      <c r="K156" s="3"/>
      <c r="L156" s="3"/>
      <c r="M156" s="3"/>
      <c r="N156" s="3"/>
      <c r="O156" s="3"/>
      <c r="P156" s="3"/>
      <c r="Q156" s="3"/>
      <c r="R156" s="3"/>
      <c r="T156" s="3"/>
      <c r="U156" s="3"/>
    </row>
  </sheetData>
  <sheetProtection selectLockedCells="1" selectUnlockedCells="1"/>
  <phoneticPr fontId="39" type="noConversion"/>
  <pageMargins left="0.74803149606299213" right="0.74803149606299213" top="0.98425196850393704" bottom="0.98425196850393704" header="0.51181102362204722" footer="0.51181102362204722"/>
  <pageSetup paperSize="9" scale="27" orientation="landscape" r:id="rId1"/>
  <headerFooter alignWithMargins="0"/>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9568C-DD75-4984-B988-B0F5ECE47E8B}">
  <sheetPr codeName="Sheet2">
    <tabColor theme="9" tint="0.59999389629810485"/>
    <pageSetUpPr fitToPage="1"/>
  </sheetPr>
  <dimension ref="A1:BF96"/>
  <sheetViews>
    <sheetView showGridLines="0" zoomScaleNormal="100" workbookViewId="0"/>
  </sheetViews>
  <sheetFormatPr defaultColWidth="0" defaultRowHeight="14.25" x14ac:dyDescent="0.2"/>
  <cols>
    <col min="1" max="1" width="3" style="16" customWidth="1"/>
    <col min="2" max="2" width="8.5703125" style="16" customWidth="1"/>
    <col min="3" max="3" width="14.42578125" style="16" customWidth="1"/>
    <col min="4" max="4" width="12" style="16" customWidth="1"/>
    <col min="5" max="6" width="10.42578125" style="16" customWidth="1"/>
    <col min="7" max="7" width="10.42578125" style="29" customWidth="1"/>
    <col min="8" max="8" width="12.28515625" style="16" customWidth="1"/>
    <col min="9" max="13" width="10.42578125" style="16" customWidth="1"/>
    <col min="14" max="14" width="10.42578125" style="7" customWidth="1"/>
    <col min="15" max="15" width="4.7109375" style="7" customWidth="1"/>
    <col min="16" max="16" width="5.7109375" style="7" hidden="1" customWidth="1"/>
    <col min="17" max="17" width="14" style="7" hidden="1" customWidth="1"/>
    <col min="18" max="18" width="8.5703125" style="7" hidden="1" customWidth="1"/>
    <col min="19" max="19" width="5.7109375" style="7" hidden="1" customWidth="1"/>
    <col min="20" max="20" width="7" style="7" hidden="1" customWidth="1"/>
    <col min="21" max="21" width="5.140625" style="7" hidden="1" customWidth="1"/>
    <col min="22" max="22" width="5.7109375" style="7" hidden="1" customWidth="1"/>
    <col min="23" max="28" width="11.5703125" style="7" hidden="1" customWidth="1"/>
    <col min="29" max="29" width="9.7109375" style="7" hidden="1" customWidth="1"/>
    <col min="30" max="30" width="4" style="7" hidden="1" customWidth="1"/>
    <col min="31" max="31" width="7.85546875" style="7" hidden="1" customWidth="1"/>
    <col min="32" max="32" width="10.7109375" style="7" hidden="1" customWidth="1"/>
    <col min="33" max="39" width="11.5703125" style="7" hidden="1" customWidth="1"/>
    <col min="40" max="40" width="9.7109375" style="7" hidden="1" customWidth="1"/>
    <col min="41" max="43" width="9.140625" style="7" hidden="1" customWidth="1"/>
    <col min="44" max="45" width="8.7109375" style="7" hidden="1" customWidth="1"/>
    <col min="46" max="46" width="7.85546875" style="7" hidden="1" customWidth="1"/>
    <col min="47" max="47" width="10.7109375" style="7" hidden="1" customWidth="1"/>
    <col min="48" max="50" width="11.5703125" style="7" hidden="1" customWidth="1"/>
    <col min="51" max="51" width="11.5703125" hidden="1" customWidth="1"/>
    <col min="52" max="53" width="8.7109375" style="7" hidden="1" customWidth="1"/>
    <col min="54" max="57" width="11.5703125" style="7" hidden="1" customWidth="1"/>
    <col min="58" max="58" width="9.7109375" style="7" hidden="1" customWidth="1"/>
    <col min="59" max="16384" width="9.140625" style="7" hidden="1"/>
  </cols>
  <sheetData>
    <row r="1" spans="1:51" s="23" customFormat="1" x14ac:dyDescent="0.2">
      <c r="A1" s="8"/>
      <c r="B1" s="8"/>
      <c r="C1" s="6"/>
      <c r="D1" s="6"/>
      <c r="E1" s="6"/>
      <c r="F1" s="6"/>
      <c r="G1" s="6"/>
      <c r="H1" s="6"/>
      <c r="I1" s="6"/>
      <c r="J1" s="6"/>
      <c r="K1" s="6"/>
      <c r="L1" s="6"/>
      <c r="M1" s="6"/>
      <c r="N1" s="6"/>
      <c r="O1" s="6"/>
      <c r="AM1" s="1"/>
    </row>
    <row r="2" spans="1:51" x14ac:dyDescent="0.2">
      <c r="A2" s="21"/>
      <c r="B2" s="345" t="s">
        <v>15</v>
      </c>
      <c r="C2" s="345"/>
      <c r="D2" s="345"/>
      <c r="E2" s="344" t="s">
        <v>16</v>
      </c>
      <c r="F2" s="344"/>
      <c r="G2" s="344"/>
      <c r="H2" s="344"/>
      <c r="I2" s="344"/>
      <c r="J2" s="344"/>
      <c r="K2" s="344"/>
      <c r="L2" s="344"/>
      <c r="M2" s="344"/>
      <c r="N2" s="344"/>
      <c r="O2" s="6"/>
      <c r="X2"/>
      <c r="AY2" s="7"/>
    </row>
    <row r="3" spans="1:51" x14ac:dyDescent="0.2">
      <c r="A3" s="21"/>
      <c r="B3" s="345"/>
      <c r="C3" s="345"/>
      <c r="D3" s="345"/>
      <c r="E3" s="102" t="s">
        <v>17</v>
      </c>
      <c r="F3" s="102" t="s">
        <v>18</v>
      </c>
      <c r="G3" s="102" t="s">
        <v>19</v>
      </c>
      <c r="H3" s="102" t="s">
        <v>20</v>
      </c>
      <c r="I3" s="102" t="s">
        <v>21</v>
      </c>
      <c r="J3" s="102" t="s">
        <v>22</v>
      </c>
      <c r="K3" s="102" t="s">
        <v>23</v>
      </c>
      <c r="L3" s="102" t="s">
        <v>24</v>
      </c>
      <c r="M3" s="102" t="s">
        <v>25</v>
      </c>
      <c r="N3" s="102" t="s">
        <v>26</v>
      </c>
      <c r="O3" s="6"/>
      <c r="X3"/>
      <c r="AY3" s="7"/>
    </row>
    <row r="4" spans="1:51" s="128" customFormat="1" ht="22.5" x14ac:dyDescent="0.2">
      <c r="A4" s="130"/>
      <c r="B4" s="345"/>
      <c r="C4" s="345"/>
      <c r="D4" s="345"/>
      <c r="E4" s="131" t="s">
        <v>27</v>
      </c>
      <c r="F4" s="131" t="s">
        <v>28</v>
      </c>
      <c r="G4" s="131" t="s">
        <v>29</v>
      </c>
      <c r="H4" s="131" t="s">
        <v>30</v>
      </c>
      <c r="I4" s="131" t="s">
        <v>31</v>
      </c>
      <c r="J4" s="131" t="s">
        <v>32</v>
      </c>
      <c r="K4" s="131" t="s">
        <v>33</v>
      </c>
      <c r="L4" s="131" t="s">
        <v>34</v>
      </c>
      <c r="M4" s="131" t="s">
        <v>35</v>
      </c>
      <c r="N4" s="131" t="s">
        <v>36</v>
      </c>
      <c r="O4" s="125"/>
      <c r="X4" s="129"/>
    </row>
    <row r="5" spans="1:51" x14ac:dyDescent="0.2">
      <c r="A5" s="6"/>
      <c r="B5" s="12" t="s">
        <v>37</v>
      </c>
      <c r="C5" s="5" t="s">
        <v>8</v>
      </c>
      <c r="D5" s="5" t="s">
        <v>38</v>
      </c>
      <c r="E5" s="19">
        <v>755</v>
      </c>
      <c r="F5" s="19">
        <v>1126</v>
      </c>
      <c r="G5" s="19">
        <v>1678</v>
      </c>
      <c r="H5" s="19">
        <v>2324</v>
      </c>
      <c r="I5" s="19">
        <v>2937</v>
      </c>
      <c r="J5" s="19">
        <v>3583</v>
      </c>
      <c r="K5" s="19">
        <v>4390</v>
      </c>
      <c r="L5" s="19">
        <v>5358</v>
      </c>
      <c r="M5" s="19">
        <v>7617</v>
      </c>
      <c r="N5" s="19">
        <v>8457</v>
      </c>
      <c r="O5" s="6"/>
      <c r="X5"/>
      <c r="AY5" s="7"/>
    </row>
    <row r="6" spans="1:51" x14ac:dyDescent="0.2">
      <c r="A6" s="6"/>
      <c r="B6" s="12" t="s">
        <v>39</v>
      </c>
      <c r="C6" s="5" t="s">
        <v>8</v>
      </c>
      <c r="D6" s="5" t="s">
        <v>10</v>
      </c>
      <c r="E6" s="19">
        <v>686</v>
      </c>
      <c r="F6" s="19">
        <v>1022</v>
      </c>
      <c r="G6" s="19">
        <v>1526</v>
      </c>
      <c r="H6" s="19">
        <v>2113</v>
      </c>
      <c r="I6" s="19">
        <v>2671</v>
      </c>
      <c r="J6" s="19">
        <v>3258</v>
      </c>
      <c r="K6" s="19">
        <v>3991</v>
      </c>
      <c r="L6" s="19">
        <v>4871</v>
      </c>
      <c r="M6" s="19">
        <v>6925</v>
      </c>
      <c r="N6" s="19">
        <v>7688</v>
      </c>
      <c r="O6" s="6"/>
      <c r="X6"/>
      <c r="AY6" s="7"/>
    </row>
    <row r="7" spans="1:51" x14ac:dyDescent="0.2">
      <c r="A7" s="6"/>
      <c r="B7" s="12" t="s">
        <v>40</v>
      </c>
      <c r="C7" s="5" t="s">
        <v>8</v>
      </c>
      <c r="D7" s="5" t="s">
        <v>13</v>
      </c>
      <c r="E7" s="19">
        <v>686</v>
      </c>
      <c r="F7" s="19">
        <v>1022</v>
      </c>
      <c r="G7" s="19">
        <v>1526</v>
      </c>
      <c r="H7" s="19">
        <v>2113</v>
      </c>
      <c r="I7" s="19">
        <v>2671</v>
      </c>
      <c r="J7" s="19">
        <v>3258</v>
      </c>
      <c r="K7" s="19">
        <v>3991</v>
      </c>
      <c r="L7" s="19">
        <v>4871</v>
      </c>
      <c r="M7" s="19">
        <v>6925</v>
      </c>
      <c r="N7" s="19">
        <v>7688</v>
      </c>
      <c r="O7" s="6"/>
      <c r="X7"/>
      <c r="AY7" s="7"/>
    </row>
    <row r="8" spans="1:51" x14ac:dyDescent="0.2">
      <c r="A8" s="6"/>
      <c r="B8" s="12" t="s">
        <v>41</v>
      </c>
      <c r="C8" s="5" t="s">
        <v>8</v>
      </c>
      <c r="D8" s="5" t="s">
        <v>42</v>
      </c>
      <c r="E8" s="19">
        <v>1030</v>
      </c>
      <c r="F8" s="19">
        <v>1533</v>
      </c>
      <c r="G8" s="19">
        <v>2289</v>
      </c>
      <c r="H8" s="19">
        <v>3169</v>
      </c>
      <c r="I8" s="19">
        <v>4006</v>
      </c>
      <c r="J8" s="19">
        <v>4886</v>
      </c>
      <c r="K8" s="19">
        <v>5986</v>
      </c>
      <c r="L8" s="19">
        <v>7307</v>
      </c>
      <c r="M8" s="19">
        <v>10387</v>
      </c>
      <c r="N8" s="19">
        <v>11532</v>
      </c>
      <c r="O8" s="6"/>
      <c r="X8"/>
      <c r="AY8" s="7"/>
    </row>
    <row r="9" spans="1:51" x14ac:dyDescent="0.2">
      <c r="A9" s="6"/>
      <c r="B9" s="12" t="s">
        <v>43</v>
      </c>
      <c r="C9" s="5" t="s">
        <v>9</v>
      </c>
      <c r="D9" s="5" t="s">
        <v>38</v>
      </c>
      <c r="E9" s="19">
        <v>961</v>
      </c>
      <c r="F9" s="19">
        <v>1432</v>
      </c>
      <c r="G9" s="19">
        <v>2136</v>
      </c>
      <c r="H9" s="19">
        <v>2958</v>
      </c>
      <c r="I9" s="19">
        <v>3739</v>
      </c>
      <c r="J9" s="19">
        <v>4560</v>
      </c>
      <c r="K9" s="19">
        <v>5587</v>
      </c>
      <c r="L9" s="19">
        <v>6819</v>
      </c>
      <c r="M9" s="19">
        <v>9695</v>
      </c>
      <c r="N9" s="19">
        <v>10763</v>
      </c>
      <c r="O9" s="6"/>
      <c r="X9"/>
      <c r="AY9" s="7"/>
    </row>
    <row r="10" spans="1:51" x14ac:dyDescent="0.2">
      <c r="A10" s="6"/>
      <c r="B10" s="12" t="s">
        <v>44</v>
      </c>
      <c r="C10" s="5" t="s">
        <v>9</v>
      </c>
      <c r="D10" s="5" t="s">
        <v>10</v>
      </c>
      <c r="E10" s="19">
        <v>927</v>
      </c>
      <c r="F10" s="19">
        <v>1381</v>
      </c>
      <c r="G10" s="19">
        <v>2060</v>
      </c>
      <c r="H10" s="19">
        <v>2852</v>
      </c>
      <c r="I10" s="19">
        <v>3605</v>
      </c>
      <c r="J10" s="19">
        <v>4398</v>
      </c>
      <c r="K10" s="19">
        <v>5387</v>
      </c>
      <c r="L10" s="19">
        <v>6576</v>
      </c>
      <c r="M10" s="19">
        <v>9349</v>
      </c>
      <c r="N10" s="19">
        <v>10379</v>
      </c>
      <c r="O10" s="6"/>
      <c r="X10"/>
      <c r="AY10" s="7"/>
    </row>
    <row r="11" spans="1:51" x14ac:dyDescent="0.2">
      <c r="A11" s="6"/>
      <c r="B11" s="12" t="s">
        <v>45</v>
      </c>
      <c r="C11" s="5" t="s">
        <v>9</v>
      </c>
      <c r="D11" s="5" t="s">
        <v>13</v>
      </c>
      <c r="E11" s="19">
        <v>927</v>
      </c>
      <c r="F11" s="19">
        <v>1381</v>
      </c>
      <c r="G11" s="19">
        <v>2060</v>
      </c>
      <c r="H11" s="19">
        <v>2852</v>
      </c>
      <c r="I11" s="19">
        <v>3605</v>
      </c>
      <c r="J11" s="19">
        <v>4398</v>
      </c>
      <c r="K11" s="19">
        <v>5387</v>
      </c>
      <c r="L11" s="19">
        <v>6576</v>
      </c>
      <c r="M11" s="19">
        <v>9349</v>
      </c>
      <c r="N11" s="19">
        <v>10379</v>
      </c>
      <c r="O11" s="6"/>
      <c r="X11"/>
      <c r="AY11" s="7"/>
    </row>
    <row r="12" spans="1:51" x14ac:dyDescent="0.2">
      <c r="A12" s="6"/>
      <c r="B12" s="12" t="s">
        <v>46</v>
      </c>
      <c r="C12" s="5" t="s">
        <v>9</v>
      </c>
      <c r="D12" s="5" t="s">
        <v>42</v>
      </c>
      <c r="E12" s="19">
        <v>1271</v>
      </c>
      <c r="F12" s="19">
        <v>1892</v>
      </c>
      <c r="G12" s="19">
        <v>2823</v>
      </c>
      <c r="H12" s="19">
        <v>3908</v>
      </c>
      <c r="I12" s="19">
        <v>4940</v>
      </c>
      <c r="J12" s="19">
        <v>6025</v>
      </c>
      <c r="K12" s="19">
        <v>7383</v>
      </c>
      <c r="L12" s="19">
        <v>9012</v>
      </c>
      <c r="M12" s="19">
        <v>12811</v>
      </c>
      <c r="N12" s="19">
        <v>14223</v>
      </c>
      <c r="O12" s="6"/>
      <c r="X12"/>
      <c r="AY12" s="7"/>
    </row>
    <row r="13" spans="1:51" x14ac:dyDescent="0.2">
      <c r="A13" s="6"/>
      <c r="B13" s="12" t="s">
        <v>47</v>
      </c>
      <c r="C13" s="5" t="s">
        <v>48</v>
      </c>
      <c r="D13" s="5" t="s">
        <v>49</v>
      </c>
      <c r="E13" s="19">
        <v>551</v>
      </c>
      <c r="F13" s="19">
        <v>817</v>
      </c>
      <c r="G13" s="19">
        <v>1221</v>
      </c>
      <c r="H13" s="19">
        <v>1690</v>
      </c>
      <c r="I13" s="19">
        <v>2136</v>
      </c>
      <c r="J13" s="19">
        <v>2606</v>
      </c>
      <c r="K13" s="19">
        <v>3192</v>
      </c>
      <c r="L13" s="19">
        <v>3897</v>
      </c>
      <c r="M13" s="19">
        <v>5540</v>
      </c>
      <c r="N13" s="19">
        <v>6150</v>
      </c>
      <c r="O13" s="6"/>
      <c r="X13"/>
      <c r="AY13" s="7"/>
    </row>
    <row r="14" spans="1:51" x14ac:dyDescent="0.2">
      <c r="A14" s="6"/>
      <c r="B14" s="12" t="s">
        <v>50</v>
      </c>
      <c r="C14" s="5" t="s">
        <v>48</v>
      </c>
      <c r="D14" s="5" t="s">
        <v>13</v>
      </c>
      <c r="E14" s="19">
        <v>514</v>
      </c>
      <c r="F14" s="19">
        <v>767</v>
      </c>
      <c r="G14" s="19">
        <v>1145</v>
      </c>
      <c r="H14" s="19">
        <v>1584</v>
      </c>
      <c r="I14" s="19">
        <v>2004</v>
      </c>
      <c r="J14" s="19">
        <v>2443</v>
      </c>
      <c r="K14" s="19">
        <v>2993</v>
      </c>
      <c r="L14" s="19">
        <v>3653</v>
      </c>
      <c r="M14" s="19">
        <v>5194</v>
      </c>
      <c r="N14" s="19">
        <v>5766</v>
      </c>
      <c r="O14" s="6"/>
      <c r="X14"/>
      <c r="AY14" s="7"/>
    </row>
    <row r="15" spans="1:51" x14ac:dyDescent="0.2">
      <c r="A15" s="6"/>
      <c r="B15" s="12" t="s">
        <v>51</v>
      </c>
      <c r="C15" s="5" t="s">
        <v>48</v>
      </c>
      <c r="D15" s="5" t="s">
        <v>42</v>
      </c>
      <c r="E15" s="19">
        <v>858</v>
      </c>
      <c r="F15" s="19">
        <v>1278</v>
      </c>
      <c r="G15" s="19">
        <v>1908</v>
      </c>
      <c r="H15" s="19">
        <v>2641</v>
      </c>
      <c r="I15" s="19">
        <v>3338</v>
      </c>
      <c r="J15" s="19">
        <v>4072</v>
      </c>
      <c r="K15" s="19">
        <v>4988</v>
      </c>
      <c r="L15" s="19">
        <v>6089</v>
      </c>
      <c r="M15" s="19">
        <v>8657</v>
      </c>
      <c r="N15" s="19">
        <v>9610</v>
      </c>
      <c r="O15" s="6"/>
      <c r="X15"/>
      <c r="AY15" s="7"/>
    </row>
    <row r="16" spans="1:51" x14ac:dyDescent="0.2">
      <c r="A16" s="6"/>
      <c r="B16" s="12" t="s">
        <v>52</v>
      </c>
      <c r="C16" s="15" t="s">
        <v>11</v>
      </c>
      <c r="D16" s="15" t="s">
        <v>13</v>
      </c>
      <c r="E16" s="19">
        <v>514</v>
      </c>
      <c r="F16" s="19">
        <v>767</v>
      </c>
      <c r="G16" s="19">
        <v>1145</v>
      </c>
      <c r="H16" s="19">
        <v>1584</v>
      </c>
      <c r="I16" s="19">
        <v>2004</v>
      </c>
      <c r="J16" s="19">
        <v>2443</v>
      </c>
      <c r="K16" s="19">
        <v>2993</v>
      </c>
      <c r="L16" s="19">
        <v>3653</v>
      </c>
      <c r="M16" s="19">
        <v>5194</v>
      </c>
      <c r="N16" s="19">
        <v>5766</v>
      </c>
      <c r="O16" s="6"/>
      <c r="X16"/>
      <c r="AY16" s="7"/>
    </row>
    <row r="17" spans="1:52" x14ac:dyDescent="0.2">
      <c r="A17" s="6"/>
      <c r="B17" s="12" t="s">
        <v>53</v>
      </c>
      <c r="C17" s="15" t="s">
        <v>11</v>
      </c>
      <c r="D17" s="15" t="s">
        <v>42</v>
      </c>
      <c r="E17" s="19">
        <v>858</v>
      </c>
      <c r="F17" s="19">
        <v>1278</v>
      </c>
      <c r="G17" s="19">
        <v>1908</v>
      </c>
      <c r="H17" s="19">
        <v>2641</v>
      </c>
      <c r="I17" s="19">
        <v>3338</v>
      </c>
      <c r="J17" s="19">
        <v>4072</v>
      </c>
      <c r="K17" s="19">
        <v>4988</v>
      </c>
      <c r="L17" s="19">
        <v>6089</v>
      </c>
      <c r="M17" s="19">
        <v>8657</v>
      </c>
      <c r="N17" s="19">
        <v>9610</v>
      </c>
      <c r="O17" s="6"/>
      <c r="X17"/>
      <c r="AY17" s="7"/>
    </row>
    <row r="18" spans="1:52" x14ac:dyDescent="0.2">
      <c r="A18" s="6"/>
      <c r="B18" s="12" t="s">
        <v>54</v>
      </c>
      <c r="C18" s="5" t="s">
        <v>38</v>
      </c>
      <c r="D18" s="5" t="s">
        <v>55</v>
      </c>
      <c r="E18" s="19">
        <v>551</v>
      </c>
      <c r="F18" s="19">
        <v>817</v>
      </c>
      <c r="G18" s="19">
        <v>1221</v>
      </c>
      <c r="H18" s="19">
        <v>1690</v>
      </c>
      <c r="I18" s="19">
        <v>2136</v>
      </c>
      <c r="J18" s="19">
        <v>2606</v>
      </c>
      <c r="K18" s="19">
        <v>3192</v>
      </c>
      <c r="L18" s="19">
        <v>3897</v>
      </c>
      <c r="M18" s="19">
        <v>5540</v>
      </c>
      <c r="N18" s="19">
        <v>6150</v>
      </c>
      <c r="O18" s="6"/>
      <c r="X18"/>
      <c r="AY18" s="7"/>
    </row>
    <row r="19" spans="1:52" x14ac:dyDescent="0.2">
      <c r="A19" s="6"/>
      <c r="B19" s="12" t="s">
        <v>56</v>
      </c>
      <c r="C19" s="5" t="s">
        <v>38</v>
      </c>
      <c r="D19" s="5" t="s">
        <v>13</v>
      </c>
      <c r="E19" s="19">
        <v>514</v>
      </c>
      <c r="F19" s="19">
        <v>767</v>
      </c>
      <c r="G19" s="19">
        <v>1145</v>
      </c>
      <c r="H19" s="19">
        <v>1584</v>
      </c>
      <c r="I19" s="19">
        <v>2004</v>
      </c>
      <c r="J19" s="19">
        <v>2443</v>
      </c>
      <c r="K19" s="19">
        <v>2993</v>
      </c>
      <c r="L19" s="19">
        <v>3653</v>
      </c>
      <c r="M19" s="19">
        <v>5194</v>
      </c>
      <c r="N19" s="19">
        <v>5766</v>
      </c>
      <c r="O19" s="6"/>
      <c r="X19"/>
      <c r="AY19" s="7"/>
    </row>
    <row r="20" spans="1:52" x14ac:dyDescent="0.2">
      <c r="A20" s="6"/>
      <c r="B20" s="12" t="s">
        <v>57</v>
      </c>
      <c r="C20" s="5" t="s">
        <v>38</v>
      </c>
      <c r="D20" s="5" t="s">
        <v>42</v>
      </c>
      <c r="E20" s="19">
        <v>858</v>
      </c>
      <c r="F20" s="19">
        <v>1278</v>
      </c>
      <c r="G20" s="19">
        <v>1908</v>
      </c>
      <c r="H20" s="19">
        <v>2641</v>
      </c>
      <c r="I20" s="19">
        <v>3338</v>
      </c>
      <c r="J20" s="19">
        <v>4072</v>
      </c>
      <c r="K20" s="19">
        <v>4988</v>
      </c>
      <c r="L20" s="19">
        <v>6089</v>
      </c>
      <c r="M20" s="19">
        <v>8657</v>
      </c>
      <c r="N20" s="19">
        <v>9610</v>
      </c>
      <c r="O20" s="6"/>
      <c r="X20"/>
      <c r="AY20" s="7"/>
    </row>
    <row r="21" spans="1:52" x14ac:dyDescent="0.2">
      <c r="A21" s="6"/>
      <c r="B21" s="12" t="s">
        <v>58</v>
      </c>
      <c r="C21" s="5" t="s">
        <v>13</v>
      </c>
      <c r="D21" s="5" t="s">
        <v>42</v>
      </c>
      <c r="E21" s="19">
        <v>344</v>
      </c>
      <c r="F21" s="19">
        <v>511</v>
      </c>
      <c r="G21" s="19">
        <v>763</v>
      </c>
      <c r="H21" s="19">
        <v>1056</v>
      </c>
      <c r="I21" s="19">
        <v>1336</v>
      </c>
      <c r="J21" s="19">
        <v>1629</v>
      </c>
      <c r="K21" s="19">
        <v>1995</v>
      </c>
      <c r="L21" s="19">
        <v>2436</v>
      </c>
      <c r="M21" s="19">
        <v>3462</v>
      </c>
      <c r="N21" s="19">
        <v>3844</v>
      </c>
      <c r="O21" s="6"/>
      <c r="X21"/>
      <c r="AY21" s="7"/>
    </row>
    <row r="22" spans="1:52" x14ac:dyDescent="0.2">
      <c r="A22" s="6"/>
      <c r="B22" s="12" t="s">
        <v>59</v>
      </c>
      <c r="C22" s="5" t="s">
        <v>13</v>
      </c>
      <c r="D22" s="5" t="s">
        <v>60</v>
      </c>
      <c r="E22" s="19">
        <v>514</v>
      </c>
      <c r="F22" s="19">
        <v>767</v>
      </c>
      <c r="G22" s="19">
        <v>1145</v>
      </c>
      <c r="H22" s="19">
        <v>1584</v>
      </c>
      <c r="I22" s="19">
        <v>2004</v>
      </c>
      <c r="J22" s="19">
        <v>2443</v>
      </c>
      <c r="K22" s="19">
        <v>2993</v>
      </c>
      <c r="L22" s="19">
        <v>3653</v>
      </c>
      <c r="M22" s="19">
        <v>5194</v>
      </c>
      <c r="N22" s="19">
        <v>5766</v>
      </c>
      <c r="O22" s="6"/>
      <c r="X22"/>
      <c r="AY22" s="7"/>
    </row>
    <row r="23" spans="1:52" x14ac:dyDescent="0.2">
      <c r="A23" s="6"/>
      <c r="B23" s="12" t="s">
        <v>61</v>
      </c>
      <c r="C23" s="5" t="s">
        <v>13</v>
      </c>
      <c r="D23" s="5" t="s">
        <v>62</v>
      </c>
      <c r="E23" s="19">
        <v>686</v>
      </c>
      <c r="F23" s="19">
        <v>1022</v>
      </c>
      <c r="G23" s="19">
        <v>1526</v>
      </c>
      <c r="H23" s="19">
        <v>2113</v>
      </c>
      <c r="I23" s="19">
        <v>2671</v>
      </c>
      <c r="J23" s="19">
        <v>3258</v>
      </c>
      <c r="K23" s="19">
        <v>3991</v>
      </c>
      <c r="L23" s="19">
        <v>4871</v>
      </c>
      <c r="M23" s="19">
        <v>6925</v>
      </c>
      <c r="N23" s="19">
        <v>7688</v>
      </c>
      <c r="O23" s="6"/>
      <c r="X23"/>
      <c r="AY23" s="7"/>
    </row>
    <row r="24" spans="1:52" x14ac:dyDescent="0.2">
      <c r="A24" s="6"/>
      <c r="B24" s="12" t="s">
        <v>63</v>
      </c>
      <c r="C24" s="5" t="s">
        <v>13</v>
      </c>
      <c r="D24" s="5" t="s">
        <v>64</v>
      </c>
      <c r="E24" s="19">
        <v>686</v>
      </c>
      <c r="F24" s="19">
        <v>1022</v>
      </c>
      <c r="G24" s="19">
        <v>1526</v>
      </c>
      <c r="H24" s="19">
        <v>2113</v>
      </c>
      <c r="I24" s="19">
        <v>2671</v>
      </c>
      <c r="J24" s="19">
        <v>3258</v>
      </c>
      <c r="K24" s="19">
        <v>3991</v>
      </c>
      <c r="L24" s="19">
        <v>4871</v>
      </c>
      <c r="M24" s="19">
        <v>6925</v>
      </c>
      <c r="N24" s="19">
        <v>7688</v>
      </c>
      <c r="O24" s="6"/>
      <c r="X24"/>
      <c r="AY24" s="7"/>
    </row>
    <row r="25" spans="1:52" ht="7.5" customHeight="1" x14ac:dyDescent="0.2">
      <c r="A25" s="6"/>
      <c r="B25" s="6"/>
      <c r="C25" s="6"/>
      <c r="D25" s="6"/>
      <c r="E25" s="6"/>
      <c r="F25" s="6"/>
      <c r="G25" s="6"/>
      <c r="H25" s="6"/>
      <c r="I25" s="6"/>
      <c r="J25" s="6"/>
      <c r="K25" s="6"/>
      <c r="L25" s="6"/>
      <c r="M25" s="6"/>
      <c r="N25" s="6"/>
      <c r="O25" s="6"/>
      <c r="X25"/>
      <c r="AY25" s="7"/>
    </row>
    <row r="26" spans="1:52" x14ac:dyDescent="0.2">
      <c r="A26" s="6"/>
      <c r="B26" s="6"/>
      <c r="C26" s="20"/>
      <c r="D26" s="6"/>
      <c r="E26" s="6"/>
      <c r="F26" s="6"/>
      <c r="G26" s="8"/>
      <c r="H26" s="9" t="s">
        <v>65</v>
      </c>
      <c r="I26" s="10"/>
      <c r="J26" s="10"/>
      <c r="K26" s="10"/>
      <c r="L26" s="11"/>
      <c r="M26" s="8"/>
      <c r="N26" s="8"/>
      <c r="O26" s="6"/>
      <c r="Y26"/>
      <c r="AY26" s="7"/>
    </row>
    <row r="27" spans="1:52" s="128" customFormat="1" ht="22.5" x14ac:dyDescent="0.2">
      <c r="A27" s="125"/>
      <c r="B27" s="125"/>
      <c r="C27" s="132" t="s">
        <v>66</v>
      </c>
      <c r="D27" s="125"/>
      <c r="E27" s="125"/>
      <c r="F27" s="125"/>
      <c r="G27" s="126"/>
      <c r="H27" s="127" t="s">
        <v>67</v>
      </c>
      <c r="I27" s="127" t="s">
        <v>68</v>
      </c>
      <c r="J27" s="127" t="s">
        <v>13</v>
      </c>
      <c r="K27" s="127" t="s">
        <v>69</v>
      </c>
      <c r="L27" s="127" t="s">
        <v>9</v>
      </c>
      <c r="M27" s="126"/>
      <c r="N27" s="126"/>
      <c r="O27" s="125"/>
      <c r="X27" s="129"/>
    </row>
    <row r="28" spans="1:52" x14ac:dyDescent="0.2">
      <c r="A28" s="6"/>
      <c r="B28" s="6"/>
      <c r="C28" s="20" t="s">
        <v>70</v>
      </c>
      <c r="D28" s="6"/>
      <c r="E28" s="6"/>
      <c r="F28" s="6"/>
      <c r="G28" s="8" t="s">
        <v>471</v>
      </c>
      <c r="H28" s="14">
        <v>0</v>
      </c>
      <c r="I28" s="13">
        <v>380</v>
      </c>
      <c r="J28" s="13">
        <v>98</v>
      </c>
      <c r="K28" s="13">
        <v>650</v>
      </c>
      <c r="L28" s="13">
        <v>385</v>
      </c>
      <c r="M28" s="8"/>
      <c r="N28" s="24"/>
      <c r="O28" s="24"/>
      <c r="X28"/>
      <c r="AY28" s="7"/>
    </row>
    <row r="29" spans="1:52" x14ac:dyDescent="0.2">
      <c r="A29" s="6"/>
      <c r="B29" s="6"/>
      <c r="C29" s="6"/>
      <c r="D29" s="6"/>
      <c r="E29" s="6"/>
      <c r="F29" s="6"/>
      <c r="G29" s="8" t="s">
        <v>472</v>
      </c>
      <c r="H29" s="186">
        <v>100.01</v>
      </c>
      <c r="I29" s="13">
        <v>432</v>
      </c>
      <c r="J29" s="13">
        <v>98</v>
      </c>
      <c r="K29" s="13">
        <v>650</v>
      </c>
      <c r="L29" s="13">
        <v>459</v>
      </c>
      <c r="M29" s="8"/>
      <c r="N29" s="24"/>
      <c r="O29" s="24"/>
      <c r="Y29"/>
      <c r="AY29" s="7"/>
    </row>
    <row r="30" spans="1:52" x14ac:dyDescent="0.2">
      <c r="A30" s="6"/>
      <c r="B30" s="8"/>
      <c r="C30" s="104" t="s">
        <v>71</v>
      </c>
      <c r="D30" s="104" t="s">
        <v>72</v>
      </c>
      <c r="E30" s="28"/>
      <c r="F30" s="8"/>
      <c r="G30" s="8" t="s">
        <v>473</v>
      </c>
      <c r="H30" s="186">
        <v>125.01</v>
      </c>
      <c r="I30" s="13">
        <v>506</v>
      </c>
      <c r="J30" s="13">
        <v>98</v>
      </c>
      <c r="K30" s="13">
        <v>650</v>
      </c>
      <c r="L30" s="13">
        <v>537</v>
      </c>
      <c r="M30" s="8"/>
      <c r="N30" s="24"/>
      <c r="O30" s="24"/>
      <c r="Q30"/>
      <c r="R30"/>
      <c r="S30"/>
      <c r="T30"/>
      <c r="U30"/>
      <c r="V30"/>
      <c r="W30"/>
      <c r="AY30" s="7"/>
      <c r="AZ30"/>
    </row>
    <row r="31" spans="1:52" x14ac:dyDescent="0.2">
      <c r="A31" s="6"/>
      <c r="B31" s="8"/>
      <c r="C31" s="12" t="s">
        <v>17</v>
      </c>
      <c r="D31" s="167">
        <v>0</v>
      </c>
      <c r="E31" s="28" t="str">
        <f>C31</f>
        <v>Band 1</v>
      </c>
      <c r="F31" s="26"/>
      <c r="G31" s="8" t="s">
        <v>474</v>
      </c>
      <c r="H31" s="186">
        <v>150.01</v>
      </c>
      <c r="I31" s="13">
        <v>582</v>
      </c>
      <c r="J31" s="13">
        <v>98</v>
      </c>
      <c r="K31" s="13">
        <v>650</v>
      </c>
      <c r="L31" s="13">
        <v>618</v>
      </c>
      <c r="M31" s="8"/>
      <c r="N31" s="24"/>
      <c r="O31" s="24"/>
      <c r="Q31"/>
      <c r="R31"/>
      <c r="S31"/>
      <c r="T31"/>
      <c r="U31"/>
      <c r="V31"/>
      <c r="W31"/>
      <c r="AY31" s="7"/>
      <c r="AZ31"/>
    </row>
    <row r="32" spans="1:52" x14ac:dyDescent="0.2">
      <c r="A32" s="6"/>
      <c r="B32" s="8"/>
      <c r="C32" s="12" t="s">
        <v>18</v>
      </c>
      <c r="D32" s="167">
        <v>95.01</v>
      </c>
      <c r="E32" s="28" t="str">
        <f t="shared" ref="E32:E40" si="0">C32</f>
        <v>Band 2</v>
      </c>
      <c r="F32" s="26"/>
      <c r="G32" s="8" t="s">
        <v>475</v>
      </c>
      <c r="H32" s="186">
        <v>175.01</v>
      </c>
      <c r="I32" s="13">
        <v>649</v>
      </c>
      <c r="J32" s="13">
        <v>98</v>
      </c>
      <c r="K32" s="13">
        <v>650</v>
      </c>
      <c r="L32" s="13">
        <v>689</v>
      </c>
      <c r="M32" s="8"/>
      <c r="N32" s="24"/>
      <c r="O32" s="24"/>
      <c r="P32" s="22"/>
      <c r="Q32"/>
      <c r="R32"/>
      <c r="S32"/>
      <c r="T32"/>
      <c r="U32"/>
      <c r="V32"/>
      <c r="W32"/>
      <c r="AY32" s="7"/>
    </row>
    <row r="33" spans="1:51" x14ac:dyDescent="0.2">
      <c r="A33" s="6"/>
      <c r="B33" s="8"/>
      <c r="C33" s="12" t="s">
        <v>19</v>
      </c>
      <c r="D33" s="167">
        <v>135.01</v>
      </c>
      <c r="E33" s="28" t="str">
        <f t="shared" si="0"/>
        <v>Band 3</v>
      </c>
      <c r="F33" s="26"/>
      <c r="G33" s="8" t="s">
        <v>476</v>
      </c>
      <c r="H33" s="186">
        <v>200.01</v>
      </c>
      <c r="I33" s="13">
        <v>724</v>
      </c>
      <c r="J33" s="13">
        <v>98</v>
      </c>
      <c r="K33" s="13">
        <v>650</v>
      </c>
      <c r="L33" s="13">
        <v>723</v>
      </c>
      <c r="M33" s="8"/>
      <c r="N33" s="24"/>
      <c r="O33" s="24"/>
      <c r="P33" s="22"/>
      <c r="Q33"/>
      <c r="R33"/>
      <c r="S33"/>
      <c r="T33"/>
      <c r="U33"/>
      <c r="V33"/>
      <c r="W33"/>
      <c r="AY33" s="7"/>
    </row>
    <row r="34" spans="1:51" x14ac:dyDescent="0.2">
      <c r="A34" s="6"/>
      <c r="B34" s="8"/>
      <c r="C34" s="12" t="s">
        <v>20</v>
      </c>
      <c r="D34" s="167">
        <v>175.01</v>
      </c>
      <c r="E34" s="28" t="str">
        <f t="shared" si="0"/>
        <v>Band 4</v>
      </c>
      <c r="F34" s="26"/>
      <c r="G34" s="8" t="s">
        <v>477</v>
      </c>
      <c r="H34" s="186">
        <v>225.01</v>
      </c>
      <c r="I34" s="13">
        <v>800</v>
      </c>
      <c r="J34" s="13">
        <v>98</v>
      </c>
      <c r="K34" s="13">
        <v>650</v>
      </c>
      <c r="L34" s="13">
        <v>799</v>
      </c>
      <c r="M34" s="8"/>
      <c r="N34" s="24"/>
      <c r="O34" s="24"/>
      <c r="P34" s="22"/>
      <c r="Q34"/>
      <c r="R34"/>
      <c r="S34"/>
      <c r="T34"/>
      <c r="U34"/>
      <c r="V34"/>
      <c r="W34"/>
      <c r="AY34" s="7"/>
    </row>
    <row r="35" spans="1:51" x14ac:dyDescent="0.2">
      <c r="A35" s="6"/>
      <c r="B35" s="8"/>
      <c r="C35" s="12" t="s">
        <v>21</v>
      </c>
      <c r="D35" s="167">
        <v>215.01</v>
      </c>
      <c r="E35" s="28" t="str">
        <f t="shared" si="0"/>
        <v>Band 5</v>
      </c>
      <c r="F35" s="26"/>
      <c r="G35" s="8" t="s">
        <v>478</v>
      </c>
      <c r="H35" s="186">
        <v>250.01</v>
      </c>
      <c r="I35" s="13">
        <v>865</v>
      </c>
      <c r="J35" s="13">
        <v>98</v>
      </c>
      <c r="K35" s="13">
        <v>650</v>
      </c>
      <c r="L35" s="13">
        <v>864</v>
      </c>
      <c r="M35" s="8"/>
      <c r="N35" s="24"/>
      <c r="O35" s="24"/>
      <c r="P35" s="22"/>
      <c r="Q35"/>
      <c r="R35"/>
      <c r="S35"/>
      <c r="T35"/>
      <c r="U35"/>
      <c r="V35"/>
      <c r="W35"/>
      <c r="AY35" s="7"/>
    </row>
    <row r="36" spans="1:51" x14ac:dyDescent="0.2">
      <c r="A36" s="6"/>
      <c r="B36" s="8"/>
      <c r="C36" s="12" t="s">
        <v>22</v>
      </c>
      <c r="D36" s="167">
        <v>255.01</v>
      </c>
      <c r="E36" s="28" t="str">
        <f t="shared" si="0"/>
        <v>Band 6</v>
      </c>
      <c r="F36" s="26"/>
      <c r="G36" s="8" t="s">
        <v>479</v>
      </c>
      <c r="H36" s="187">
        <v>275.01</v>
      </c>
      <c r="I36" s="13">
        <v>942</v>
      </c>
      <c r="J36" s="13">
        <v>98</v>
      </c>
      <c r="K36" s="13">
        <v>650</v>
      </c>
      <c r="L36" s="13">
        <v>939</v>
      </c>
      <c r="M36" s="8"/>
      <c r="N36" s="24"/>
      <c r="O36" s="24"/>
      <c r="P36" s="22"/>
      <c r="Q36"/>
      <c r="R36"/>
      <c r="S36"/>
      <c r="T36"/>
      <c r="U36"/>
      <c r="V36"/>
      <c r="W36"/>
      <c r="AY36" s="7"/>
    </row>
    <row r="37" spans="1:51" x14ac:dyDescent="0.2">
      <c r="A37" s="6"/>
      <c r="B37" s="8"/>
      <c r="C37" s="12" t="s">
        <v>23</v>
      </c>
      <c r="D37" s="167">
        <v>295.01</v>
      </c>
      <c r="E37" s="28" t="str">
        <f t="shared" si="0"/>
        <v>Band 7</v>
      </c>
      <c r="F37" s="26"/>
      <c r="G37" s="8" t="s">
        <v>480</v>
      </c>
      <c r="H37" s="188">
        <v>300.01</v>
      </c>
      <c r="I37" s="13">
        <v>1010</v>
      </c>
      <c r="J37" s="13">
        <v>98</v>
      </c>
      <c r="K37" s="13">
        <v>650</v>
      </c>
      <c r="L37" s="13">
        <v>1008</v>
      </c>
      <c r="M37" s="8"/>
      <c r="N37" s="24"/>
      <c r="O37" s="24"/>
      <c r="P37" s="22"/>
      <c r="Q37"/>
      <c r="R37"/>
      <c r="S37"/>
      <c r="T37"/>
      <c r="U37"/>
      <c r="V37"/>
      <c r="W37"/>
      <c r="AY37" s="7"/>
    </row>
    <row r="38" spans="1:51" x14ac:dyDescent="0.2">
      <c r="A38" s="6"/>
      <c r="B38" s="8"/>
      <c r="C38" s="12" t="s">
        <v>24</v>
      </c>
      <c r="D38" s="167">
        <v>335.01</v>
      </c>
      <c r="E38" s="28" t="str">
        <f t="shared" si="0"/>
        <v>Band 8</v>
      </c>
      <c r="F38" s="26"/>
      <c r="G38" s="8"/>
      <c r="H38" s="188">
        <v>325.01</v>
      </c>
      <c r="I38" s="13">
        <v>1010</v>
      </c>
      <c r="J38" s="13">
        <v>98</v>
      </c>
      <c r="K38" s="13">
        <v>650</v>
      </c>
      <c r="L38" s="13">
        <v>1008</v>
      </c>
      <c r="M38" s="8"/>
      <c r="N38" s="24"/>
      <c r="O38" s="24"/>
      <c r="P38" s="22"/>
      <c r="Q38"/>
      <c r="R38"/>
      <c r="S38"/>
      <c r="T38"/>
      <c r="U38"/>
      <c r="V38"/>
      <c r="W38"/>
      <c r="AY38" s="7"/>
    </row>
    <row r="39" spans="1:51" x14ac:dyDescent="0.2">
      <c r="A39" s="6"/>
      <c r="B39" s="8"/>
      <c r="C39" s="12" t="s">
        <v>25</v>
      </c>
      <c r="D39" s="167">
        <v>375.01</v>
      </c>
      <c r="E39" s="28" t="str">
        <f t="shared" si="0"/>
        <v>Band 9</v>
      </c>
      <c r="F39" s="26"/>
      <c r="G39" s="8" t="s">
        <v>481</v>
      </c>
      <c r="H39" s="188">
        <v>350.01</v>
      </c>
      <c r="I39" s="13">
        <v>1162</v>
      </c>
      <c r="J39" s="13">
        <v>98</v>
      </c>
      <c r="K39" s="13">
        <v>650</v>
      </c>
      <c r="L39" s="13">
        <v>1160</v>
      </c>
      <c r="M39" s="8"/>
      <c r="N39" s="24"/>
      <c r="O39" s="24"/>
      <c r="P39" s="22"/>
      <c r="Q39"/>
      <c r="R39"/>
      <c r="S39"/>
      <c r="T39"/>
      <c r="U39"/>
      <c r="V39"/>
      <c r="W39"/>
      <c r="AY39" s="7"/>
    </row>
    <row r="40" spans="1:51" x14ac:dyDescent="0.2">
      <c r="A40" s="6"/>
      <c r="B40" s="8"/>
      <c r="C40" s="12" t="s">
        <v>26</v>
      </c>
      <c r="D40" s="167">
        <v>390.01</v>
      </c>
      <c r="E40" s="28" t="str">
        <f t="shared" si="0"/>
        <v>Band 10</v>
      </c>
      <c r="F40" s="8"/>
      <c r="G40" s="8"/>
      <c r="H40" s="188">
        <v>375.01</v>
      </c>
      <c r="I40" s="13">
        <v>1162</v>
      </c>
      <c r="J40" s="13">
        <v>98</v>
      </c>
      <c r="K40" s="13">
        <v>650</v>
      </c>
      <c r="L40" s="13">
        <v>1160</v>
      </c>
      <c r="M40" s="8"/>
      <c r="N40" s="24"/>
      <c r="O40" s="24"/>
      <c r="P40" s="22"/>
      <c r="Q40"/>
      <c r="R40"/>
      <c r="S40"/>
      <c r="T40"/>
      <c r="U40"/>
      <c r="V40"/>
      <c r="W40"/>
      <c r="AY40" s="7"/>
    </row>
    <row r="41" spans="1:51" x14ac:dyDescent="0.2">
      <c r="A41" s="6"/>
      <c r="B41" s="8"/>
      <c r="C41" s="8"/>
      <c r="D41" s="8"/>
      <c r="E41" s="27"/>
      <c r="F41" s="8"/>
      <c r="G41" s="8" t="s">
        <v>482</v>
      </c>
      <c r="H41" s="186">
        <v>400.01</v>
      </c>
      <c r="I41" s="13">
        <v>1337</v>
      </c>
      <c r="J41" s="13">
        <v>98</v>
      </c>
      <c r="K41" s="13">
        <v>650</v>
      </c>
      <c r="L41" s="13">
        <v>1335</v>
      </c>
      <c r="M41" s="8"/>
      <c r="N41" s="24"/>
      <c r="O41" s="24"/>
      <c r="P41" s="22"/>
      <c r="Q41"/>
      <c r="R41"/>
      <c r="S41"/>
      <c r="T41"/>
      <c r="U41"/>
      <c r="V41"/>
      <c r="W41"/>
      <c r="AY41" s="7"/>
    </row>
    <row r="42" spans="1:51" x14ac:dyDescent="0.2">
      <c r="A42" s="6"/>
      <c r="B42" s="8"/>
      <c r="C42" s="160" t="s">
        <v>250</v>
      </c>
      <c r="D42" s="30" t="s">
        <v>74</v>
      </c>
      <c r="E42" s="104" t="s">
        <v>252</v>
      </c>
      <c r="F42" s="160" t="s">
        <v>221</v>
      </c>
      <c r="G42" s="8"/>
      <c r="H42" s="189"/>
      <c r="I42" s="190"/>
      <c r="J42" s="190"/>
      <c r="K42" s="190"/>
      <c r="L42" s="190"/>
      <c r="M42" s="8"/>
      <c r="N42" s="8"/>
      <c r="O42" s="6"/>
      <c r="P42"/>
      <c r="Q42"/>
      <c r="R42"/>
      <c r="S42"/>
      <c r="T42"/>
      <c r="U42"/>
      <c r="V42"/>
      <c r="W42"/>
      <c r="AY42" s="7"/>
    </row>
    <row r="43" spans="1:51" x14ac:dyDescent="0.2">
      <c r="A43" s="6"/>
      <c r="B43" s="8"/>
      <c r="C43" s="15" t="s">
        <v>75</v>
      </c>
      <c r="D43" s="12" t="s">
        <v>76</v>
      </c>
      <c r="E43" s="18">
        <v>0.25</v>
      </c>
      <c r="F43" s="15" t="s">
        <v>73</v>
      </c>
      <c r="G43" s="8"/>
      <c r="H43" s="233" t="s">
        <v>365</v>
      </c>
      <c r="I43" s="234"/>
      <c r="J43" s="235"/>
      <c r="K43" s="312">
        <v>12.5</v>
      </c>
      <c r="L43" s="8"/>
      <c r="M43" s="8"/>
      <c r="N43" s="6"/>
      <c r="O43" s="6"/>
      <c r="P43"/>
      <c r="Q43"/>
      <c r="R43"/>
      <c r="S43"/>
      <c r="T43"/>
      <c r="U43"/>
      <c r="V43"/>
      <c r="W43"/>
      <c r="AY43" s="7"/>
    </row>
    <row r="44" spans="1:51" x14ac:dyDescent="0.2">
      <c r="A44" s="6"/>
      <c r="B44" s="8"/>
      <c r="C44" s="15" t="s">
        <v>233</v>
      </c>
      <c r="D44" s="12" t="s">
        <v>249</v>
      </c>
      <c r="E44" s="18">
        <v>0.05</v>
      </c>
      <c r="F44" s="15" t="s">
        <v>251</v>
      </c>
      <c r="G44" s="8"/>
      <c r="H44" s="233" t="s">
        <v>297</v>
      </c>
      <c r="I44" s="234"/>
      <c r="J44" s="235"/>
      <c r="K44" s="232">
        <v>7469</v>
      </c>
      <c r="L44" s="8"/>
      <c r="M44" s="8"/>
      <c r="N44" s="8"/>
      <c r="O44" s="6"/>
      <c r="P44"/>
      <c r="Q44" s="22"/>
      <c r="R44"/>
      <c r="S44"/>
      <c r="T44"/>
      <c r="U44"/>
      <c r="V44"/>
      <c r="W44"/>
      <c r="X44"/>
      <c r="AY44" s="7"/>
    </row>
    <row r="45" spans="1:51" x14ac:dyDescent="0.2">
      <c r="A45" s="6"/>
      <c r="B45" s="8"/>
      <c r="C45" s="8"/>
      <c r="D45" s="8"/>
      <c r="E45" s="8"/>
      <c r="F45" s="8"/>
      <c r="G45" s="8"/>
      <c r="H45" s="8"/>
      <c r="I45" s="8"/>
      <c r="J45" s="8"/>
      <c r="K45" s="8"/>
      <c r="L45" s="8"/>
      <c r="M45" s="8"/>
      <c r="N45" s="8"/>
      <c r="O45" s="6"/>
      <c r="P45"/>
      <c r="Q45" s="22"/>
      <c r="R45"/>
      <c r="S45"/>
      <c r="T45"/>
      <c r="U45"/>
      <c r="V45"/>
      <c r="W45"/>
      <c r="X45"/>
      <c r="AY45" s="7"/>
    </row>
    <row r="46" spans="1:51" x14ac:dyDescent="0.2">
      <c r="A46" s="6"/>
      <c r="B46" s="8"/>
      <c r="C46" s="104" t="s">
        <v>77</v>
      </c>
      <c r="D46" s="104" t="s">
        <v>72</v>
      </c>
      <c r="E46" s="104" t="s">
        <v>78</v>
      </c>
      <c r="F46" s="104" t="s">
        <v>74</v>
      </c>
      <c r="G46" s="104" t="s">
        <v>79</v>
      </c>
      <c r="H46" s="346" t="s">
        <v>3</v>
      </c>
      <c r="I46" s="346"/>
      <c r="J46" s="346"/>
      <c r="K46" s="346"/>
      <c r="L46" s="346"/>
      <c r="M46" s="346"/>
      <c r="N46" s="8"/>
      <c r="O46" s="8"/>
      <c r="P46"/>
      <c r="Q46" s="22"/>
      <c r="R46"/>
      <c r="S46"/>
      <c r="T46"/>
      <c r="U46"/>
      <c r="V46"/>
      <c r="W46"/>
      <c r="X46"/>
      <c r="AY46" s="7"/>
    </row>
    <row r="47" spans="1:51" x14ac:dyDescent="0.2">
      <c r="A47" s="6"/>
      <c r="B47" s="8"/>
      <c r="C47" s="103" t="s">
        <v>155</v>
      </c>
      <c r="D47" s="12">
        <v>210</v>
      </c>
      <c r="E47" s="12" t="s">
        <v>80</v>
      </c>
      <c r="F47" s="12" t="s">
        <v>81</v>
      </c>
      <c r="G47" s="17">
        <v>2334</v>
      </c>
      <c r="H47" s="347" t="s">
        <v>154</v>
      </c>
      <c r="I47" s="347"/>
      <c r="J47" s="347"/>
      <c r="K47" s="347"/>
      <c r="L47" s="347"/>
      <c r="M47" s="347"/>
      <c r="N47" s="8"/>
      <c r="O47" s="8"/>
      <c r="P47"/>
      <c r="R47"/>
      <c r="S47"/>
      <c r="T47"/>
      <c r="U47"/>
      <c r="V47"/>
      <c r="W47"/>
      <c r="X47"/>
      <c r="AY47" s="7"/>
    </row>
    <row r="48" spans="1:51" x14ac:dyDescent="0.2">
      <c r="A48" s="6"/>
      <c r="B48" s="8"/>
      <c r="C48" s="103" t="s">
        <v>82</v>
      </c>
      <c r="D48" s="12">
        <v>345</v>
      </c>
      <c r="E48" s="12" t="s">
        <v>80</v>
      </c>
      <c r="F48" s="12" t="s">
        <v>83</v>
      </c>
      <c r="G48" s="17">
        <v>2334</v>
      </c>
      <c r="H48" s="347" t="s">
        <v>153</v>
      </c>
      <c r="I48" s="347"/>
      <c r="J48" s="347"/>
      <c r="K48" s="347"/>
      <c r="L48" s="347"/>
      <c r="M48" s="347"/>
      <c r="N48" s="8"/>
      <c r="O48" s="8"/>
      <c r="P48"/>
      <c r="Q48"/>
      <c r="R48"/>
      <c r="S48"/>
      <c r="T48"/>
      <c r="U48"/>
      <c r="V48"/>
      <c r="W48"/>
      <c r="AY48" s="7"/>
    </row>
    <row r="49" spans="1:52" x14ac:dyDescent="0.2">
      <c r="A49" s="6"/>
      <c r="B49" s="8"/>
      <c r="C49" s="103" t="s">
        <v>84</v>
      </c>
      <c r="D49" s="12">
        <v>200</v>
      </c>
      <c r="E49" s="12">
        <v>11</v>
      </c>
      <c r="F49" s="12" t="s">
        <v>85</v>
      </c>
      <c r="G49" s="17">
        <v>1485</v>
      </c>
      <c r="H49" s="347" t="s">
        <v>86</v>
      </c>
      <c r="I49" s="347"/>
      <c r="J49" s="347"/>
      <c r="K49" s="347"/>
      <c r="L49" s="347"/>
      <c r="M49" s="347"/>
      <c r="N49" s="8"/>
      <c r="O49" s="8"/>
      <c r="P49"/>
      <c r="Q49"/>
      <c r="R49"/>
      <c r="S49"/>
      <c r="T49"/>
      <c r="U49"/>
      <c r="V49"/>
      <c r="W49"/>
      <c r="AY49" s="7"/>
    </row>
    <row r="50" spans="1:52" x14ac:dyDescent="0.2">
      <c r="A50" s="6"/>
      <c r="B50" s="8"/>
      <c r="C50" s="103" t="s">
        <v>87</v>
      </c>
      <c r="D50" s="12">
        <v>225</v>
      </c>
      <c r="E50" s="12">
        <v>12.5</v>
      </c>
      <c r="F50" s="12" t="s">
        <v>85</v>
      </c>
      <c r="G50" s="17">
        <v>2334</v>
      </c>
      <c r="H50" s="347" t="s">
        <v>152</v>
      </c>
      <c r="I50" s="347"/>
      <c r="J50" s="347"/>
      <c r="K50" s="347"/>
      <c r="L50" s="347"/>
      <c r="M50" s="347"/>
      <c r="N50" s="8"/>
      <c r="O50" s="8"/>
      <c r="P50"/>
      <c r="AY50" s="7"/>
    </row>
    <row r="51" spans="1:52" x14ac:dyDescent="0.2">
      <c r="A51" s="6"/>
      <c r="B51" s="8"/>
      <c r="C51" s="8"/>
      <c r="D51" s="8"/>
      <c r="E51" s="8"/>
      <c r="F51" s="8"/>
      <c r="G51" s="8"/>
      <c r="H51" s="8"/>
      <c r="I51" s="25"/>
      <c r="J51" s="25"/>
      <c r="K51" s="25"/>
      <c r="L51" s="25"/>
      <c r="M51" s="8"/>
      <c r="N51" s="8"/>
      <c r="O51" s="8"/>
      <c r="P51"/>
      <c r="AY51" s="7"/>
    </row>
    <row r="52" spans="1:52" x14ac:dyDescent="0.2">
      <c r="A52" s="192"/>
      <c r="B52" s="193"/>
      <c r="C52" s="193"/>
      <c r="D52" s="193"/>
      <c r="E52" s="193"/>
      <c r="F52" s="193"/>
      <c r="G52" s="193"/>
      <c r="H52" s="197"/>
      <c r="I52" s="197"/>
      <c r="J52" s="197"/>
      <c r="K52" s="197"/>
      <c r="L52" s="193"/>
      <c r="M52" s="193"/>
      <c r="N52" s="193"/>
      <c r="O52" s="192"/>
      <c r="P52"/>
      <c r="AY52" s="7"/>
      <c r="AZ52"/>
    </row>
    <row r="53" spans="1:52" x14ac:dyDescent="0.2">
      <c r="A53" s="192"/>
      <c r="B53" s="192"/>
      <c r="C53" s="196" t="s">
        <v>315</v>
      </c>
      <c r="D53" s="193"/>
      <c r="E53" s="193"/>
      <c r="F53" s="193"/>
      <c r="G53" s="201"/>
      <c r="H53" s="196" t="s">
        <v>336</v>
      </c>
      <c r="I53" s="193"/>
      <c r="J53" s="193"/>
      <c r="K53" s="197"/>
      <c r="L53" s="193"/>
      <c r="M53" s="193"/>
      <c r="N53" s="193"/>
      <c r="O53" s="192"/>
      <c r="P53"/>
      <c r="AY53" s="7"/>
      <c r="AZ53"/>
    </row>
    <row r="54" spans="1:52" x14ac:dyDescent="0.2">
      <c r="A54" s="192"/>
      <c r="B54" s="192"/>
      <c r="C54" s="201" t="s">
        <v>332</v>
      </c>
      <c r="D54" s="193"/>
      <c r="E54" s="193"/>
      <c r="F54" s="193"/>
      <c r="G54" s="201"/>
      <c r="H54" s="201" t="s">
        <v>326</v>
      </c>
      <c r="I54" s="193"/>
      <c r="J54" s="193"/>
      <c r="K54" s="197"/>
      <c r="L54" s="193"/>
      <c r="M54" s="193"/>
      <c r="N54" s="193"/>
      <c r="O54" s="192"/>
      <c r="P54"/>
      <c r="AY54" s="7"/>
      <c r="AZ54"/>
    </row>
    <row r="55" spans="1:52" x14ac:dyDescent="0.2">
      <c r="A55" s="192"/>
      <c r="B55" s="192"/>
      <c r="C55" s="194"/>
      <c r="D55" s="334" t="s">
        <v>165</v>
      </c>
      <c r="E55" s="334"/>
      <c r="F55" s="193"/>
      <c r="G55" s="201"/>
      <c r="H55" s="194" t="s">
        <v>314</v>
      </c>
      <c r="I55" s="194" t="s">
        <v>157</v>
      </c>
      <c r="J55" s="194" t="s">
        <v>165</v>
      </c>
      <c r="K55" s="197"/>
      <c r="L55" s="193"/>
      <c r="M55" s="193"/>
      <c r="N55" s="193"/>
      <c r="O55" s="192"/>
      <c r="P55"/>
      <c r="AY55" s="7"/>
      <c r="AZ55"/>
    </row>
    <row r="56" spans="1:52" x14ac:dyDescent="0.2">
      <c r="A56" s="192"/>
      <c r="B56" s="192"/>
      <c r="C56" s="194" t="s">
        <v>157</v>
      </c>
      <c r="D56" s="194" t="s">
        <v>158</v>
      </c>
      <c r="E56" s="194" t="s">
        <v>159</v>
      </c>
      <c r="F56" s="193"/>
      <c r="G56" s="193"/>
      <c r="H56" s="338" t="s">
        <v>331</v>
      </c>
      <c r="I56" s="194">
        <v>0</v>
      </c>
      <c r="J56" s="195">
        <v>4.5999999999999999E-2</v>
      </c>
      <c r="K56" s="197"/>
      <c r="L56" s="193"/>
      <c r="M56" s="193"/>
      <c r="N56" s="193"/>
      <c r="O56" s="192"/>
      <c r="P56"/>
      <c r="AY56" s="7"/>
      <c r="AZ56"/>
    </row>
    <row r="57" spans="1:52" x14ac:dyDescent="0.2">
      <c r="A57" s="192"/>
      <c r="B57" s="192"/>
      <c r="C57" s="194">
        <v>0</v>
      </c>
      <c r="D57" s="195">
        <v>1.9E-2</v>
      </c>
      <c r="E57" s="195">
        <v>4.3999999999999997E-2</v>
      </c>
      <c r="F57" s="193"/>
      <c r="G57" s="193"/>
      <c r="H57" s="339"/>
      <c r="I57" s="194">
        <v>3000</v>
      </c>
      <c r="J57" s="195">
        <v>0.109</v>
      </c>
      <c r="K57" s="197"/>
      <c r="L57" s="193"/>
      <c r="M57" s="193"/>
      <c r="N57" s="193"/>
      <c r="O57" s="192"/>
      <c r="AY57" s="7"/>
      <c r="AZ57"/>
    </row>
    <row r="58" spans="1:52" x14ac:dyDescent="0.2">
      <c r="A58" s="192"/>
      <c r="B58" s="192"/>
      <c r="C58" s="194">
        <v>3000</v>
      </c>
      <c r="D58" s="195">
        <v>0.02</v>
      </c>
      <c r="E58" s="195">
        <v>4.8000000000000001E-2</v>
      </c>
      <c r="F58" s="193"/>
      <c r="G58" s="193"/>
      <c r="H58" s="339"/>
      <c r="I58" s="194">
        <v>10000</v>
      </c>
      <c r="J58" s="195">
        <v>0.20300000000000001</v>
      </c>
      <c r="K58" s="197"/>
      <c r="L58" s="193"/>
      <c r="M58" s="193"/>
      <c r="N58" s="193"/>
      <c r="O58" s="192"/>
      <c r="AY58" s="7"/>
      <c r="AZ58"/>
    </row>
    <row r="59" spans="1:52" x14ac:dyDescent="0.2">
      <c r="A59" s="192"/>
      <c r="B59" s="192"/>
      <c r="C59" s="194">
        <v>10000</v>
      </c>
      <c r="D59" s="195">
        <v>2.1000000000000001E-2</v>
      </c>
      <c r="E59" s="195">
        <v>0.05</v>
      </c>
      <c r="F59" s="193"/>
      <c r="G59" s="193"/>
      <c r="H59" s="340"/>
      <c r="I59" s="194">
        <v>55000</v>
      </c>
      <c r="J59" s="195">
        <v>0.29399999999999998</v>
      </c>
      <c r="K59" s="197"/>
      <c r="L59" s="193"/>
      <c r="M59" s="193"/>
      <c r="N59" s="193"/>
      <c r="O59" s="192"/>
      <c r="AY59" s="7"/>
      <c r="AZ59"/>
    </row>
    <row r="60" spans="1:52" x14ac:dyDescent="0.2">
      <c r="A60" s="192"/>
      <c r="B60" s="192"/>
      <c r="C60" s="194">
        <v>55000</v>
      </c>
      <c r="D60" s="195">
        <v>2.1999999999999999E-2</v>
      </c>
      <c r="E60" s="195">
        <v>5.3999999999999999E-2</v>
      </c>
      <c r="F60" s="193"/>
      <c r="G60" s="193"/>
      <c r="H60" s="341" t="s">
        <v>162</v>
      </c>
      <c r="I60" s="194">
        <v>0</v>
      </c>
      <c r="J60" s="195">
        <v>1.4999999999999999E-2</v>
      </c>
      <c r="K60" s="197"/>
      <c r="L60" s="193"/>
      <c r="M60" s="193"/>
      <c r="N60" s="193"/>
      <c r="O60" s="192"/>
      <c r="AY60" s="7"/>
      <c r="AZ60"/>
    </row>
    <row r="61" spans="1:52" x14ac:dyDescent="0.2">
      <c r="A61" s="192"/>
      <c r="B61" s="192"/>
      <c r="C61" s="194">
        <v>100000</v>
      </c>
      <c r="D61" s="195">
        <v>2.8000000000000001E-2</v>
      </c>
      <c r="E61" s="195">
        <v>6.8000000000000005E-2</v>
      </c>
      <c r="F61" s="193"/>
      <c r="G61" s="193"/>
      <c r="H61" s="342"/>
      <c r="I61" s="194">
        <v>10000</v>
      </c>
      <c r="J61" s="195">
        <v>2.5000000000000001E-2</v>
      </c>
      <c r="K61" s="197"/>
      <c r="L61" s="193"/>
      <c r="M61" s="193"/>
      <c r="N61" s="193"/>
      <c r="O61" s="192"/>
      <c r="AY61" s="7"/>
      <c r="AZ61"/>
    </row>
    <row r="62" spans="1:52" x14ac:dyDescent="0.2">
      <c r="A62" s="192"/>
      <c r="B62" s="193"/>
      <c r="C62" s="193"/>
      <c r="D62" s="193"/>
      <c r="E62" s="193"/>
      <c r="F62" s="193"/>
      <c r="G62" s="193"/>
      <c r="H62" s="343"/>
      <c r="I62" s="194">
        <v>25000</v>
      </c>
      <c r="J62" s="195">
        <v>4.7E-2</v>
      </c>
      <c r="K62" s="197"/>
      <c r="L62" s="193"/>
      <c r="M62" s="193"/>
      <c r="N62" s="193"/>
      <c r="O62" s="192"/>
      <c r="AY62" s="7"/>
      <c r="AZ62"/>
    </row>
    <row r="63" spans="1:52" x14ac:dyDescent="0.2">
      <c r="A63" s="192"/>
      <c r="B63" s="193"/>
      <c r="C63" s="201"/>
      <c r="D63" s="193"/>
      <c r="E63" s="193"/>
      <c r="F63" s="193"/>
      <c r="G63" s="193"/>
      <c r="H63" s="194" t="s">
        <v>163</v>
      </c>
      <c r="I63" s="194"/>
      <c r="J63" s="195">
        <v>6.6000000000000003E-2</v>
      </c>
      <c r="K63" s="197"/>
      <c r="L63" s="193"/>
      <c r="M63" s="193"/>
      <c r="N63" s="193"/>
      <c r="O63" s="192"/>
      <c r="AY63" s="7"/>
      <c r="AZ63"/>
    </row>
    <row r="64" spans="1:52" x14ac:dyDescent="0.2">
      <c r="A64" s="192"/>
      <c r="B64" s="192"/>
      <c r="C64" s="201" t="s">
        <v>327</v>
      </c>
      <c r="D64" s="192"/>
      <c r="E64" s="192"/>
      <c r="F64" s="193"/>
      <c r="G64" s="193"/>
      <c r="H64" s="192"/>
      <c r="I64" s="192"/>
      <c r="J64" s="192"/>
      <c r="K64" s="197"/>
      <c r="L64" s="193"/>
      <c r="M64" s="193"/>
      <c r="N64" s="193"/>
      <c r="O64" s="192"/>
      <c r="AY64" s="7"/>
      <c r="AZ64"/>
    </row>
    <row r="65" spans="1:52" x14ac:dyDescent="0.2">
      <c r="A65" s="192"/>
      <c r="B65" s="192"/>
      <c r="C65" s="201"/>
      <c r="D65" s="192"/>
      <c r="E65" s="192"/>
      <c r="F65" s="193"/>
      <c r="G65" s="193"/>
      <c r="H65" s="192"/>
      <c r="I65" s="192"/>
      <c r="J65" s="192"/>
      <c r="K65" s="197"/>
      <c r="L65" s="193"/>
      <c r="M65" s="193"/>
      <c r="N65" s="193"/>
      <c r="O65" s="192"/>
      <c r="AY65" s="7"/>
      <c r="AZ65"/>
    </row>
    <row r="66" spans="1:52" x14ac:dyDescent="0.2">
      <c r="A66" s="192"/>
      <c r="B66" s="192"/>
      <c r="C66" s="192"/>
      <c r="D66" s="192"/>
      <c r="E66" s="192"/>
      <c r="F66" s="193"/>
      <c r="G66" s="193"/>
      <c r="H66" s="192"/>
      <c r="I66" s="192"/>
      <c r="J66" s="192"/>
      <c r="K66" s="197"/>
      <c r="L66" s="193"/>
      <c r="M66" s="193"/>
      <c r="N66" s="193"/>
      <c r="O66" s="192"/>
      <c r="AY66" s="7"/>
      <c r="AZ66"/>
    </row>
    <row r="67" spans="1:52" x14ac:dyDescent="0.2">
      <c r="A67" s="192"/>
      <c r="B67" s="192"/>
      <c r="C67" s="196" t="s">
        <v>318</v>
      </c>
      <c r="D67" s="197"/>
      <c r="E67" s="197"/>
      <c r="F67" s="193"/>
      <c r="G67" s="193"/>
      <c r="H67" s="192"/>
      <c r="I67" s="192"/>
      <c r="J67" s="192"/>
      <c r="K67" s="197"/>
      <c r="L67" s="193"/>
      <c r="M67" s="193"/>
      <c r="N67" s="193"/>
      <c r="O67" s="192"/>
      <c r="AY67" s="7"/>
      <c r="AZ67"/>
    </row>
    <row r="68" spans="1:52" x14ac:dyDescent="0.2">
      <c r="A68" s="192"/>
      <c r="B68" s="192"/>
      <c r="C68" s="198" t="s">
        <v>221</v>
      </c>
      <c r="D68" s="198" t="s">
        <v>329</v>
      </c>
      <c r="E68" s="198" t="s">
        <v>323</v>
      </c>
      <c r="F68" s="194" t="s">
        <v>330</v>
      </c>
      <c r="G68" s="193"/>
      <c r="H68" s="192"/>
      <c r="I68" s="192"/>
      <c r="J68" s="192"/>
      <c r="K68" s="197"/>
      <c r="L68" s="193"/>
      <c r="M68" s="193"/>
      <c r="N68" s="193"/>
      <c r="O68" s="192"/>
      <c r="AY68" s="7"/>
      <c r="AZ68"/>
    </row>
    <row r="69" spans="1:52" x14ac:dyDescent="0.2">
      <c r="A69" s="192"/>
      <c r="B69" s="192"/>
      <c r="C69" s="336" t="s">
        <v>179</v>
      </c>
      <c r="D69" s="199" t="s">
        <v>316</v>
      </c>
      <c r="E69" s="205">
        <v>0.313</v>
      </c>
      <c r="F69" s="194" t="s">
        <v>175</v>
      </c>
      <c r="G69" s="193" t="s">
        <v>174</v>
      </c>
      <c r="H69" s="192"/>
      <c r="I69" s="192"/>
      <c r="J69" s="192"/>
      <c r="K69" s="197"/>
      <c r="L69" s="193"/>
      <c r="M69" s="193"/>
      <c r="N69" s="193"/>
      <c r="O69" s="192"/>
      <c r="AY69" s="7"/>
      <c r="AZ69"/>
    </row>
    <row r="70" spans="1:52" x14ac:dyDescent="0.2">
      <c r="A70" s="192"/>
      <c r="B70" s="192"/>
      <c r="C70" s="336"/>
      <c r="D70" s="199" t="s">
        <v>317</v>
      </c>
      <c r="E70" s="205">
        <v>0.20899999999999999</v>
      </c>
      <c r="F70" s="194" t="s">
        <v>175</v>
      </c>
      <c r="G70" s="193" t="s">
        <v>176</v>
      </c>
      <c r="H70" s="192"/>
      <c r="I70" s="192"/>
      <c r="J70" s="192"/>
      <c r="K70" s="197"/>
      <c r="L70" s="193"/>
      <c r="M70" s="193"/>
      <c r="N70" s="193"/>
      <c r="O70" s="192"/>
      <c r="AY70" s="7"/>
      <c r="AZ70"/>
    </row>
    <row r="71" spans="1:52" x14ac:dyDescent="0.2">
      <c r="A71" s="192"/>
      <c r="B71" s="192"/>
      <c r="C71" s="337" t="s">
        <v>328</v>
      </c>
      <c r="D71" s="199">
        <v>0</v>
      </c>
      <c r="E71" s="205">
        <v>2.4300000000000002</v>
      </c>
      <c r="F71" s="194" t="s">
        <v>177</v>
      </c>
      <c r="G71" s="193"/>
      <c r="H71" s="192"/>
      <c r="I71" s="192"/>
      <c r="J71" s="192"/>
      <c r="K71" s="193"/>
      <c r="L71" s="193"/>
      <c r="M71" s="193"/>
      <c r="N71" s="193"/>
      <c r="O71" s="192"/>
      <c r="AY71" s="7"/>
      <c r="AZ71"/>
    </row>
    <row r="72" spans="1:52" x14ac:dyDescent="0.2">
      <c r="A72" s="192"/>
      <c r="B72" s="192"/>
      <c r="C72" s="337"/>
      <c r="D72" s="200">
        <v>20</v>
      </c>
      <c r="E72" s="206">
        <v>3.53</v>
      </c>
      <c r="F72" s="194" t="s">
        <v>177</v>
      </c>
      <c r="G72" s="193"/>
      <c r="H72" s="192"/>
      <c r="I72" s="192"/>
      <c r="J72" s="192"/>
      <c r="K72" s="193"/>
      <c r="L72" s="193"/>
      <c r="M72" s="193"/>
      <c r="N72" s="193"/>
      <c r="O72" s="192"/>
      <c r="AY72" s="7"/>
      <c r="AZ72"/>
    </row>
    <row r="73" spans="1:52" x14ac:dyDescent="0.2">
      <c r="A73" s="192"/>
      <c r="B73" s="192"/>
      <c r="C73" s="337"/>
      <c r="D73" s="200">
        <v>30</v>
      </c>
      <c r="E73" s="206">
        <v>4.07</v>
      </c>
      <c r="F73" s="194" t="s">
        <v>177</v>
      </c>
      <c r="G73" s="193"/>
      <c r="H73" s="192"/>
      <c r="I73" s="192"/>
      <c r="J73" s="192"/>
      <c r="K73" s="193"/>
      <c r="L73" s="193"/>
      <c r="M73" s="193"/>
      <c r="N73" s="193"/>
      <c r="O73" s="192"/>
      <c r="AY73" s="7"/>
      <c r="AZ73"/>
    </row>
    <row r="74" spans="1:52" x14ac:dyDescent="0.2">
      <c r="A74" s="192"/>
      <c r="B74" s="193"/>
      <c r="C74" s="337"/>
      <c r="D74" s="200">
        <v>40</v>
      </c>
      <c r="E74" s="206">
        <v>4.07</v>
      </c>
      <c r="F74" s="194" t="s">
        <v>177</v>
      </c>
      <c r="G74" s="193"/>
      <c r="H74" s="192"/>
      <c r="I74" s="192"/>
      <c r="J74" s="192"/>
      <c r="K74" s="193"/>
      <c r="L74" s="193"/>
      <c r="M74" s="193"/>
      <c r="N74" s="193"/>
      <c r="O74" s="192"/>
      <c r="AY74" s="7"/>
      <c r="AZ74"/>
    </row>
    <row r="75" spans="1:52" x14ac:dyDescent="0.2">
      <c r="A75" s="192"/>
      <c r="B75" s="193"/>
      <c r="C75" s="337"/>
      <c r="D75" s="200">
        <v>45</v>
      </c>
      <c r="E75" s="206" t="s">
        <v>178</v>
      </c>
      <c r="F75" s="194" t="s">
        <v>177</v>
      </c>
      <c r="G75" s="193"/>
      <c r="H75" s="192"/>
      <c r="I75" s="192"/>
      <c r="J75" s="192"/>
      <c r="K75" s="193"/>
      <c r="L75" s="193"/>
      <c r="M75" s="193"/>
      <c r="N75" s="192"/>
      <c r="O75" s="192"/>
      <c r="AY75" s="7"/>
      <c r="AZ75"/>
    </row>
    <row r="76" spans="1:52" x14ac:dyDescent="0.2">
      <c r="A76" s="192"/>
      <c r="B76" s="193"/>
      <c r="C76" s="194" t="s">
        <v>261</v>
      </c>
      <c r="D76" s="200"/>
      <c r="E76" s="206">
        <v>3.24</v>
      </c>
      <c r="F76" s="194" t="s">
        <v>177</v>
      </c>
      <c r="G76" s="193"/>
      <c r="H76" s="193"/>
      <c r="I76" s="193"/>
      <c r="J76" s="193"/>
      <c r="K76" s="193"/>
      <c r="L76" s="193"/>
      <c r="M76" s="193"/>
      <c r="N76" s="192"/>
      <c r="O76" s="192"/>
      <c r="AY76" s="7"/>
      <c r="AZ76"/>
    </row>
    <row r="77" spans="1:52" x14ac:dyDescent="0.2">
      <c r="A77" s="192"/>
      <c r="B77" s="193"/>
      <c r="C77" s="193"/>
      <c r="D77" s="193"/>
      <c r="E77" s="193"/>
      <c r="F77" s="193"/>
      <c r="G77" s="193"/>
      <c r="H77" s="193"/>
      <c r="I77" s="193"/>
      <c r="J77" s="193"/>
      <c r="K77" s="193"/>
      <c r="L77" s="193"/>
      <c r="M77" s="193"/>
      <c r="N77" s="192"/>
      <c r="O77" s="192"/>
      <c r="AY77" s="7"/>
      <c r="AZ77"/>
    </row>
    <row r="78" spans="1:52" x14ac:dyDescent="0.2">
      <c r="A78" s="192"/>
      <c r="B78" s="193"/>
      <c r="C78" s="193"/>
      <c r="D78" s="193"/>
      <c r="E78" s="193"/>
      <c r="F78" s="193"/>
      <c r="G78" s="193"/>
      <c r="H78" s="193"/>
      <c r="I78" s="193"/>
      <c r="J78" s="193"/>
      <c r="K78" s="193"/>
      <c r="L78" s="193"/>
      <c r="M78" s="193"/>
      <c r="N78" s="192"/>
      <c r="O78" s="192"/>
      <c r="AY78" s="7"/>
      <c r="AZ78"/>
    </row>
    <row r="79" spans="1:52" x14ac:dyDescent="0.2">
      <c r="A79" s="193"/>
      <c r="B79" s="193"/>
      <c r="C79" s="196" t="s">
        <v>321</v>
      </c>
      <c r="D79" s="193"/>
      <c r="E79" s="193"/>
      <c r="F79" s="193"/>
      <c r="G79" s="193"/>
      <c r="H79" s="193"/>
      <c r="I79" s="193"/>
      <c r="J79" s="193"/>
      <c r="K79" s="193"/>
      <c r="L79" s="193"/>
      <c r="M79" s="193"/>
      <c r="N79" s="192"/>
      <c r="O79" s="192"/>
      <c r="AY79" s="7"/>
      <c r="AZ79"/>
    </row>
    <row r="80" spans="1:52" x14ac:dyDescent="0.2">
      <c r="A80" s="193"/>
      <c r="B80" s="193"/>
      <c r="C80" s="194" t="s">
        <v>186</v>
      </c>
      <c r="D80" s="194" t="s">
        <v>319</v>
      </c>
      <c r="E80" s="195">
        <v>4.2999999999999997E-2</v>
      </c>
      <c r="F80" s="201" t="s">
        <v>320</v>
      </c>
      <c r="G80" s="193"/>
      <c r="H80" s="193"/>
      <c r="I80" s="193"/>
      <c r="J80" s="193"/>
      <c r="K80" s="193"/>
      <c r="L80" s="193"/>
      <c r="M80" s="193"/>
      <c r="N80" s="192"/>
      <c r="O80" s="192"/>
    </row>
    <row r="81" spans="1:15" x14ac:dyDescent="0.2">
      <c r="A81" s="193"/>
      <c r="B81" s="193"/>
      <c r="C81" s="194" t="s">
        <v>187</v>
      </c>
      <c r="D81" s="194" t="s">
        <v>319</v>
      </c>
      <c r="E81" s="195">
        <v>2.1000000000000001E-2</v>
      </c>
      <c r="F81" s="193"/>
      <c r="G81" s="193"/>
      <c r="H81" s="193"/>
      <c r="I81" s="193"/>
      <c r="J81" s="193"/>
      <c r="K81" s="193"/>
      <c r="L81" s="193"/>
      <c r="M81" s="193"/>
      <c r="N81" s="192"/>
      <c r="O81" s="192"/>
    </row>
    <row r="82" spans="1:15" x14ac:dyDescent="0.2">
      <c r="A82" s="193"/>
      <c r="B82" s="193"/>
      <c r="C82" s="193"/>
      <c r="D82" s="193"/>
      <c r="E82" s="193"/>
      <c r="F82" s="193"/>
      <c r="G82" s="193"/>
      <c r="H82" s="193"/>
      <c r="I82" s="193"/>
      <c r="J82" s="193"/>
      <c r="K82" s="193"/>
      <c r="L82" s="193"/>
      <c r="M82" s="193"/>
      <c r="N82" s="192"/>
      <c r="O82" s="192"/>
    </row>
    <row r="83" spans="1:15" x14ac:dyDescent="0.2">
      <c r="A83" s="193"/>
      <c r="B83" s="193"/>
      <c r="C83" s="193"/>
      <c r="D83" s="193"/>
      <c r="E83" s="193"/>
      <c r="F83" s="193"/>
      <c r="G83" s="193"/>
      <c r="H83" s="193"/>
      <c r="I83" s="193"/>
      <c r="J83" s="193"/>
      <c r="K83" s="193"/>
      <c r="L83" s="193"/>
      <c r="M83" s="193"/>
      <c r="N83" s="192"/>
      <c r="O83" s="192"/>
    </row>
    <row r="84" spans="1:15" x14ac:dyDescent="0.2">
      <c r="A84" s="193"/>
      <c r="B84" s="193"/>
      <c r="C84" s="196" t="s">
        <v>322</v>
      </c>
      <c r="D84" s="193"/>
      <c r="E84" s="193"/>
      <c r="F84" s="193"/>
      <c r="G84" s="193"/>
      <c r="H84" s="193"/>
      <c r="I84" s="193"/>
      <c r="J84" s="193"/>
      <c r="K84" s="193"/>
      <c r="L84" s="193"/>
      <c r="M84" s="193"/>
      <c r="N84" s="192"/>
      <c r="O84" s="192"/>
    </row>
    <row r="85" spans="1:15" x14ac:dyDescent="0.2">
      <c r="A85" s="193"/>
      <c r="B85" s="193"/>
      <c r="C85" s="194" t="s">
        <v>157</v>
      </c>
      <c r="D85" s="194" t="s">
        <v>324</v>
      </c>
      <c r="E85" s="193"/>
      <c r="F85" s="193"/>
      <c r="G85" s="193"/>
      <c r="H85" s="193"/>
      <c r="I85" s="193"/>
      <c r="J85" s="193"/>
      <c r="K85" s="193"/>
      <c r="L85" s="193"/>
      <c r="M85" s="193"/>
      <c r="N85" s="192"/>
      <c r="O85" s="192"/>
    </row>
    <row r="86" spans="1:15" ht="14.25" customHeight="1" x14ac:dyDescent="0.2">
      <c r="A86" s="193"/>
      <c r="B86" s="193"/>
      <c r="C86" s="194">
        <v>0</v>
      </c>
      <c r="D86" s="202">
        <v>55</v>
      </c>
      <c r="E86" s="193"/>
      <c r="F86" s="335" t="s">
        <v>325</v>
      </c>
      <c r="G86" s="335"/>
      <c r="H86" s="335"/>
      <c r="I86" s="335"/>
      <c r="J86" s="335"/>
      <c r="K86" s="193"/>
      <c r="L86" s="193"/>
      <c r="M86" s="193"/>
      <c r="N86" s="192"/>
      <c r="O86" s="192"/>
    </row>
    <row r="87" spans="1:15" x14ac:dyDescent="0.2">
      <c r="A87" s="193"/>
      <c r="B87" s="193"/>
      <c r="C87" s="194">
        <v>5000</v>
      </c>
      <c r="D87" s="202">
        <v>68</v>
      </c>
      <c r="E87" s="193"/>
      <c r="F87" s="335"/>
      <c r="G87" s="335"/>
      <c r="H87" s="335"/>
      <c r="I87" s="335"/>
      <c r="J87" s="335"/>
      <c r="K87" s="193"/>
      <c r="L87" s="193"/>
      <c r="M87" s="193"/>
      <c r="N87" s="192"/>
      <c r="O87" s="192"/>
    </row>
    <row r="88" spans="1:15" x14ac:dyDescent="0.2">
      <c r="A88" s="193"/>
      <c r="B88" s="193"/>
      <c r="C88" s="194">
        <v>10000</v>
      </c>
      <c r="D88" s="202">
        <v>106</v>
      </c>
      <c r="E88" s="193"/>
      <c r="F88" s="335"/>
      <c r="G88" s="335"/>
      <c r="H88" s="335"/>
      <c r="I88" s="335"/>
      <c r="J88" s="335"/>
      <c r="K88" s="193"/>
      <c r="L88" s="193"/>
      <c r="M88" s="193"/>
      <c r="N88" s="192"/>
      <c r="O88" s="192"/>
    </row>
    <row r="89" spans="1:15" x14ac:dyDescent="0.2">
      <c r="A89" s="193"/>
      <c r="B89" s="193"/>
      <c r="C89" s="194">
        <v>15000</v>
      </c>
      <c r="D89" s="202">
        <v>210</v>
      </c>
      <c r="E89" s="193"/>
      <c r="F89" s="335"/>
      <c r="G89" s="335"/>
      <c r="H89" s="335"/>
      <c r="I89" s="335"/>
      <c r="J89" s="335"/>
      <c r="K89" s="193"/>
      <c r="L89" s="193"/>
      <c r="M89" s="193"/>
      <c r="N89" s="192"/>
      <c r="O89" s="192"/>
    </row>
    <row r="90" spans="1:15" x14ac:dyDescent="0.2">
      <c r="A90" s="193"/>
      <c r="B90" s="193"/>
      <c r="C90" s="194">
        <v>25000</v>
      </c>
      <c r="D90" s="202">
        <v>248</v>
      </c>
      <c r="E90" s="193"/>
      <c r="F90" s="335"/>
      <c r="G90" s="335"/>
      <c r="H90" s="335"/>
      <c r="I90" s="335"/>
      <c r="J90" s="335"/>
      <c r="K90" s="193"/>
      <c r="L90" s="193"/>
      <c r="M90" s="193"/>
      <c r="N90" s="192"/>
      <c r="O90" s="192"/>
    </row>
    <row r="91" spans="1:15" x14ac:dyDescent="0.2">
      <c r="A91" s="193"/>
      <c r="B91" s="193"/>
      <c r="C91" s="194">
        <v>50000</v>
      </c>
      <c r="D91" s="202">
        <v>283</v>
      </c>
      <c r="E91" s="193"/>
      <c r="F91" s="335"/>
      <c r="G91" s="335"/>
      <c r="H91" s="335"/>
      <c r="I91" s="335"/>
      <c r="J91" s="335"/>
      <c r="K91" s="193"/>
      <c r="L91" s="193"/>
      <c r="M91" s="193"/>
      <c r="N91" s="192"/>
      <c r="O91" s="192"/>
    </row>
    <row r="92" spans="1:15" x14ac:dyDescent="0.2">
      <c r="A92" s="193"/>
      <c r="B92" s="193"/>
      <c r="C92" s="194">
        <v>100000</v>
      </c>
      <c r="D92" s="202">
        <v>353</v>
      </c>
      <c r="E92" s="193"/>
      <c r="F92" s="335"/>
      <c r="G92" s="335"/>
      <c r="H92" s="335"/>
      <c r="I92" s="335"/>
      <c r="J92" s="335"/>
      <c r="K92" s="193"/>
      <c r="L92" s="193"/>
      <c r="M92" s="193"/>
      <c r="N92" s="192"/>
      <c r="O92" s="192"/>
    </row>
    <row r="93" spans="1:15" x14ac:dyDescent="0.2">
      <c r="A93" s="193"/>
      <c r="B93" s="193"/>
      <c r="C93" s="193"/>
      <c r="D93" s="193"/>
      <c r="E93" s="193"/>
      <c r="F93" s="193"/>
      <c r="G93" s="193"/>
      <c r="H93" s="193"/>
      <c r="I93" s="193"/>
      <c r="J93" s="193"/>
      <c r="K93" s="193"/>
      <c r="L93" s="193"/>
      <c r="M93" s="193"/>
      <c r="N93" s="192"/>
      <c r="O93" s="192"/>
    </row>
    <row r="94" spans="1:15" x14ac:dyDescent="0.2">
      <c r="A94" s="193"/>
      <c r="B94" s="193"/>
      <c r="C94" s="193"/>
      <c r="D94" s="193"/>
      <c r="E94" s="193"/>
      <c r="F94" s="193"/>
      <c r="G94" s="193"/>
      <c r="H94" s="193"/>
      <c r="I94" s="193"/>
      <c r="J94" s="193"/>
      <c r="K94" s="193"/>
      <c r="L94" s="193"/>
      <c r="M94" s="193"/>
      <c r="N94" s="192"/>
      <c r="O94" s="192"/>
    </row>
    <row r="95" spans="1:15" x14ac:dyDescent="0.2">
      <c r="A95" s="193"/>
      <c r="B95" s="193"/>
      <c r="C95" s="193"/>
      <c r="D95" s="193"/>
      <c r="E95" s="193"/>
      <c r="F95" s="193"/>
      <c r="G95" s="193"/>
      <c r="H95" s="193"/>
      <c r="I95" s="193"/>
      <c r="J95" s="193"/>
      <c r="K95" s="193"/>
      <c r="L95" s="193"/>
      <c r="M95" s="193"/>
      <c r="N95" s="192"/>
      <c r="O95" s="192"/>
    </row>
    <row r="96" spans="1:15" x14ac:dyDescent="0.2">
      <c r="A96" s="193"/>
      <c r="B96" s="193"/>
      <c r="C96" s="193"/>
      <c r="D96" s="193"/>
      <c r="E96" s="193"/>
      <c r="F96" s="193"/>
      <c r="G96" s="193"/>
      <c r="H96" s="193"/>
      <c r="I96" s="193"/>
      <c r="J96" s="193"/>
      <c r="K96" s="193"/>
      <c r="L96" s="193"/>
      <c r="M96" s="193"/>
      <c r="N96" s="192"/>
      <c r="O96" s="192"/>
    </row>
  </sheetData>
  <sheetProtection selectLockedCells="1" selectUnlockedCells="1"/>
  <sortState xmlns:xlrd2="http://schemas.microsoft.com/office/spreadsheetml/2017/richdata2" ref="C31:E40">
    <sortCondition ref="D31:D40"/>
  </sortState>
  <mergeCells count="13">
    <mergeCell ref="E2:N2"/>
    <mergeCell ref="B2:D4"/>
    <mergeCell ref="H46:M46"/>
    <mergeCell ref="H47:M47"/>
    <mergeCell ref="H50:M50"/>
    <mergeCell ref="H49:M49"/>
    <mergeCell ref="H48:M48"/>
    <mergeCell ref="D55:E55"/>
    <mergeCell ref="F86:J92"/>
    <mergeCell ref="C69:C70"/>
    <mergeCell ref="C71:C75"/>
    <mergeCell ref="H56:H59"/>
    <mergeCell ref="H60:H62"/>
  </mergeCells>
  <pageMargins left="0.7" right="0.7"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60F6F-E6D4-4CD7-890A-A241680C8752}">
  <sheetPr codeName="Sheet6">
    <tabColor theme="9" tint="0.59999389629810485"/>
  </sheetPr>
  <dimension ref="A1:V42"/>
  <sheetViews>
    <sheetView workbookViewId="0">
      <selection activeCell="H29" sqref="H29"/>
    </sheetView>
  </sheetViews>
  <sheetFormatPr defaultRowHeight="12.75" x14ac:dyDescent="0.2"/>
  <cols>
    <col min="1" max="1" width="22.7109375" style="161" bestFit="1" customWidth="1"/>
    <col min="2" max="2" width="13.28515625" style="161" customWidth="1"/>
    <col min="3" max="3" width="12.42578125" style="161" customWidth="1"/>
    <col min="4" max="4" width="22.85546875" style="161" customWidth="1"/>
    <col min="5" max="5" width="9.28515625" style="168" customWidth="1"/>
    <col min="6" max="6" width="9.7109375" style="133" customWidth="1"/>
    <col min="7" max="7" width="20.5703125" style="133" bestFit="1" customWidth="1"/>
    <col min="8" max="8" width="11.5703125" style="161" customWidth="1"/>
    <col min="9" max="9" width="5" style="133" bestFit="1" customWidth="1"/>
    <col min="10" max="10" width="26.7109375" style="133" bestFit="1" customWidth="1"/>
    <col min="11" max="11" width="9.85546875" style="161" bestFit="1" customWidth="1"/>
    <col min="12" max="13" width="8.28515625" style="133" customWidth="1"/>
    <col min="14" max="14" width="18.42578125" style="161" customWidth="1"/>
    <col min="15" max="16" width="17.7109375" style="161" customWidth="1"/>
    <col min="17" max="17" width="30.5703125" style="161" customWidth="1"/>
    <col min="18" max="18" width="39.28515625" style="161" customWidth="1"/>
    <col min="19" max="19" width="17.7109375" style="161" customWidth="1"/>
    <col min="20" max="20" width="9.140625" style="133"/>
    <col min="21" max="21" width="94.42578125" style="133" bestFit="1" customWidth="1"/>
    <col min="22" max="25" width="9.140625" style="133"/>
    <col min="26" max="26" width="2.28515625" style="133" customWidth="1"/>
    <col min="27" max="27" width="9.140625" style="133" customWidth="1"/>
    <col min="28" max="16384" width="9.140625" style="133"/>
  </cols>
  <sheetData>
    <row r="1" spans="1:22" x14ac:dyDescent="0.2">
      <c r="A1" s="162" t="s">
        <v>253</v>
      </c>
      <c r="B1" s="162" t="s">
        <v>256</v>
      </c>
      <c r="C1" s="162" t="s">
        <v>274</v>
      </c>
      <c r="D1" s="162" t="s">
        <v>275</v>
      </c>
      <c r="E1" s="171" t="s">
        <v>278</v>
      </c>
      <c r="N1" s="164" t="s">
        <v>105</v>
      </c>
      <c r="O1" s="164" t="s">
        <v>110</v>
      </c>
      <c r="P1" s="164" t="s">
        <v>74</v>
      </c>
      <c r="Q1" s="164" t="s">
        <v>254</v>
      </c>
      <c r="R1" s="164" t="s">
        <v>255</v>
      </c>
      <c r="S1" s="164" t="s">
        <v>218</v>
      </c>
    </row>
    <row r="2" spans="1:22" x14ac:dyDescent="0.2">
      <c r="A2" s="161" t="s">
        <v>227</v>
      </c>
      <c r="B2" s="163" t="s">
        <v>269</v>
      </c>
      <c r="C2" s="161">
        <v>1</v>
      </c>
      <c r="D2" s="161">
        <f ca="1">OFFSET($N$1,C2,0)</f>
        <v>0</v>
      </c>
      <c r="E2" s="172" t="e">
        <f ca="1">VLOOKUP(D2,LocationIndex2[],2,FALSE)</f>
        <v>#N/A</v>
      </c>
      <c r="G2" s="133" t="s">
        <v>15</v>
      </c>
      <c r="H2" s="174" t="e">
        <f ca="1">E2&amp;E3</f>
        <v>#N/A</v>
      </c>
      <c r="J2" s="133" t="s">
        <v>285</v>
      </c>
      <c r="K2" s="161" t="str">
        <f>IF(fCargoType=1,"N",IF(fCargoType=6,"N","Y"))</f>
        <v>N</v>
      </c>
      <c r="R2" s="161" t="s">
        <v>362</v>
      </c>
    </row>
    <row r="3" spans="1:22" x14ac:dyDescent="0.2">
      <c r="A3" s="161" t="s">
        <v>228</v>
      </c>
      <c r="B3" s="163" t="s">
        <v>270</v>
      </c>
      <c r="C3" s="161">
        <v>1</v>
      </c>
      <c r="D3" s="161">
        <f ca="1">OFFSET($O$1,C3,0)</f>
        <v>0</v>
      </c>
      <c r="E3" s="172" t="e">
        <f ca="1">VLOOKUP(D3,LocationIndex2[],2,FALSE)</f>
        <v>#N/A</v>
      </c>
      <c r="G3" s="133" t="s">
        <v>287</v>
      </c>
      <c r="H3" s="161" t="e">
        <f ca="1">VLOOKUP(LOC,FindRates5[],2,FALSE)</f>
        <v>#N/A</v>
      </c>
      <c r="J3" s="133" t="s">
        <v>286</v>
      </c>
      <c r="K3" s="161" t="str">
        <f>IF(fCargoType=1,"N",IF(fCargoType=6,"Y","N"))</f>
        <v>N</v>
      </c>
      <c r="N3" s="161" t="s">
        <v>8</v>
      </c>
      <c r="O3" s="161" t="s">
        <v>8</v>
      </c>
      <c r="P3" s="161" t="s">
        <v>208</v>
      </c>
      <c r="Q3" s="161" t="s">
        <v>454</v>
      </c>
      <c r="R3" s="161" t="s">
        <v>363</v>
      </c>
      <c r="S3" s="161" t="s">
        <v>266</v>
      </c>
      <c r="U3" s="133" t="str">
        <f>IF(IF($C$2=1,P3,Q3)="","",IF($C$2=1,P3,Q3))</f>
        <v>Container Ship</v>
      </c>
    </row>
    <row r="4" spans="1:22" x14ac:dyDescent="0.2">
      <c r="A4" s="161" t="s">
        <v>72</v>
      </c>
      <c r="B4" s="166" t="str">
        <f>IF(C4=0,"",IFERROR(VLOOKUP(C4/1,Prices!$D$31:$E$40,2,TRUE),""))</f>
        <v/>
      </c>
      <c r="C4" s="161">
        <f>Estimator!D18</f>
        <v>0</v>
      </c>
      <c r="D4" s="161">
        <f>C4</f>
        <v>0</v>
      </c>
      <c r="E4" s="172"/>
      <c r="G4" s="133" t="s">
        <v>290</v>
      </c>
      <c r="H4" s="161" t="e">
        <f ca="1">IF(OR(fLOA&lt;1,SeaRateCode="N/A",SeaRateCode="Shift"),"n/a",B4)</f>
        <v>#N/A</v>
      </c>
      <c r="J4" s="133" t="s">
        <v>334</v>
      </c>
      <c r="K4" s="203">
        <f>VLOOKUP(fVesselGT,Prices!$C$57:$E$61,IF(Reference!H16="Y",3,2),TRUE)</f>
        <v>1.9E-2</v>
      </c>
      <c r="N4" s="161" t="s">
        <v>9</v>
      </c>
      <c r="O4" s="161" t="s">
        <v>9</v>
      </c>
      <c r="P4" s="161" t="s">
        <v>223</v>
      </c>
      <c r="Q4" s="161" t="s">
        <v>455</v>
      </c>
      <c r="R4" s="161" t="s">
        <v>187</v>
      </c>
      <c r="S4" s="161" t="s">
        <v>267</v>
      </c>
      <c r="U4" s="133" t="str">
        <f>IF(IF($C$2=1,P4,Q4)="","",IF($C$2=1,P4,Q4))</f>
        <v>LNG Carrier</v>
      </c>
    </row>
    <row r="5" spans="1:22" x14ac:dyDescent="0.2">
      <c r="A5" s="161" t="s">
        <v>229</v>
      </c>
      <c r="B5" s="163" t="s">
        <v>259</v>
      </c>
      <c r="C5" s="161">
        <v>1</v>
      </c>
      <c r="D5" s="161">
        <f ca="1">OFFSET($P$1,C5,0)</f>
        <v>0</v>
      </c>
      <c r="E5" s="172"/>
      <c r="G5" s="133" t="s">
        <v>288</v>
      </c>
      <c r="H5" s="161" t="e">
        <f ca="1">VLOOKUP(LOC,FindRates5[],3,FALSE)</f>
        <v>#N/A</v>
      </c>
      <c r="J5" s="133" t="s">
        <v>156</v>
      </c>
      <c r="K5" s="204">
        <f>K4*fVesselGT</f>
        <v>0</v>
      </c>
      <c r="N5" s="161" t="s">
        <v>112</v>
      </c>
      <c r="O5" s="161" t="s">
        <v>112</v>
      </c>
      <c r="P5" s="161" t="s">
        <v>207</v>
      </c>
      <c r="Q5" s="161" t="s">
        <v>456</v>
      </c>
      <c r="S5" s="161" t="s">
        <v>268</v>
      </c>
      <c r="U5" s="133" t="str">
        <f>IF(IF($C$2=1,P5,Q5)="","",IF($C$2=1,P5,Q5))</f>
        <v>Oil/Gas Tanker</v>
      </c>
    </row>
    <row r="6" spans="1:22" x14ac:dyDescent="0.2">
      <c r="A6" s="161" t="s">
        <v>236</v>
      </c>
      <c r="C6" s="169">
        <f>Estimator!D22</f>
        <v>0</v>
      </c>
      <c r="D6" s="161">
        <f>C6</f>
        <v>0</v>
      </c>
      <c r="E6" s="172"/>
      <c r="G6" s="133" t="s">
        <v>291</v>
      </c>
      <c r="H6" s="161" t="e">
        <f ca="1">IF(OR(fLOA&lt;1,RiverRateCode="N/A",RiverRateCode="Shift"),"n/a",B4)</f>
        <v>#N/A</v>
      </c>
      <c r="J6" s="133" t="s">
        <v>335</v>
      </c>
      <c r="K6" s="203">
        <f>IF(OR(fVesselType=6,fVesselType=7),Prices!$J$63,IF(fVesselType=5,VLOOKUP(fVesselGT,Prices!$I$60:$J$62,2,TRUE),VLOOKUP(fVesselGT,Prices!$I$56:$J$59,2,TRUE)))</f>
        <v>4.5999999999999999E-2</v>
      </c>
      <c r="N6" s="161" t="s">
        <v>11</v>
      </c>
      <c r="O6" s="161" t="s">
        <v>11</v>
      </c>
      <c r="P6" s="161" t="s">
        <v>75</v>
      </c>
      <c r="Q6" s="161" t="s">
        <v>457</v>
      </c>
      <c r="U6" s="161" t="s">
        <v>204</v>
      </c>
    </row>
    <row r="7" spans="1:22" x14ac:dyDescent="0.2">
      <c r="A7" s="161" t="s">
        <v>231</v>
      </c>
      <c r="C7" s="161">
        <v>1</v>
      </c>
      <c r="D7" s="161">
        <f ca="1">OFFSET($S$1,C7,0)</f>
        <v>0</v>
      </c>
      <c r="G7" s="133" t="s">
        <v>309</v>
      </c>
      <c r="H7" s="182">
        <f ca="1">IFERROR(OFFSET(Prices!D4,MATCH(SeaRateCode,Prices!$B$5:$B$24,0),MATCH(SeaBand,Prices!$E$3:$N$3,0)),0)</f>
        <v>0</v>
      </c>
      <c r="J7" s="133" t="s">
        <v>336</v>
      </c>
      <c r="K7" s="204">
        <f>K6*fVesselGT</f>
        <v>0</v>
      </c>
      <c r="N7" s="161" t="s">
        <v>464</v>
      </c>
      <c r="O7" s="161" t="s">
        <v>464</v>
      </c>
      <c r="P7" s="161" t="s">
        <v>206</v>
      </c>
      <c r="Q7" s="161" t="s">
        <v>279</v>
      </c>
      <c r="U7" s="133" t="str">
        <f>IF(IF($C$2=1,P7,Q7)="","",IF($C$2=1,P7,Q7))</f>
        <v>Passenger Ferry</v>
      </c>
    </row>
    <row r="8" spans="1:22" x14ac:dyDescent="0.2">
      <c r="A8" s="161" t="s">
        <v>78</v>
      </c>
      <c r="C8" s="170">
        <f>Estimator!D20</f>
        <v>0</v>
      </c>
      <c r="D8" s="161">
        <f>C8</f>
        <v>0</v>
      </c>
      <c r="E8" s="172"/>
      <c r="G8" s="133" t="s">
        <v>310</v>
      </c>
      <c r="H8" s="182">
        <f ca="1">IFERROR(OFFSET(Prices!D4,MATCH(RiverRateCode,Prices!$B$5:$B$24,0),MATCH(RiverBand,Prices!$E$3:$N$3,0)),0)</f>
        <v>0</v>
      </c>
      <c r="I8" s="191"/>
      <c r="J8" s="191" t="s">
        <v>337</v>
      </c>
      <c r="K8" s="203" t="str">
        <f>IF(OR(fCargoType=2,fCargoType=4),Prices!E69,IF(OR(fCargoType=3,fCargoType=5),Prices!E70,"na"))</f>
        <v>na</v>
      </c>
      <c r="L8" s="191"/>
      <c r="M8" s="191"/>
      <c r="N8" s="161" t="s">
        <v>465</v>
      </c>
      <c r="O8" s="161" t="s">
        <v>465</v>
      </c>
      <c r="P8" s="161" t="s">
        <v>224</v>
      </c>
      <c r="U8" s="161" t="s">
        <v>222</v>
      </c>
    </row>
    <row r="9" spans="1:22" x14ac:dyDescent="0.2">
      <c r="A9" s="229" t="s">
        <v>210</v>
      </c>
      <c r="C9" s="170">
        <f>Estimator!D24</f>
        <v>0</v>
      </c>
      <c r="D9" s="161">
        <f>C9</f>
        <v>0</v>
      </c>
      <c r="E9" s="172"/>
      <c r="G9" s="133" t="s">
        <v>289</v>
      </c>
      <c r="H9" s="161" t="str">
        <f>IF(fVesselType=5,"Y","N")</f>
        <v>N</v>
      </c>
      <c r="J9" s="133" t="s">
        <v>339</v>
      </c>
      <c r="K9" s="204">
        <f>IF(Goods_Charge_Rate="na",0,Goods_Charge_Rate*fCargoTonnage)</f>
        <v>0</v>
      </c>
      <c r="N9" s="161" t="s">
        <v>122</v>
      </c>
      <c r="O9" s="161" t="s">
        <v>122</v>
      </c>
      <c r="P9" s="161" t="s">
        <v>209</v>
      </c>
      <c r="U9" s="161" t="s">
        <v>187</v>
      </c>
    </row>
    <row r="10" spans="1:22" x14ac:dyDescent="0.2">
      <c r="A10" s="229" t="s">
        <v>230</v>
      </c>
      <c r="C10" s="161" t="b">
        <v>0</v>
      </c>
      <c r="D10" s="161" t="str">
        <f>IF(C10=TRUE,"Y","N")</f>
        <v>N</v>
      </c>
      <c r="E10" s="172"/>
      <c r="G10" s="133" t="s">
        <v>358</v>
      </c>
      <c r="H10" s="182">
        <f>IF(H9="Y",H7*RoRoDiscountRate,0)</f>
        <v>0</v>
      </c>
      <c r="J10" s="161" t="s">
        <v>338</v>
      </c>
      <c r="K10" s="204">
        <f>IF(fCargoType&lt;&gt;6,0,C15*Prices!E71)</f>
        <v>0</v>
      </c>
      <c r="N10" s="161" t="s">
        <v>125</v>
      </c>
      <c r="O10" s="161" t="s">
        <v>125</v>
      </c>
      <c r="U10" s="133" t="str">
        <f>IF(IF($C$2=1,P10,Q10)="","",IF($C$2=1,P10,Q10))</f>
        <v/>
      </c>
    </row>
    <row r="11" spans="1:22" x14ac:dyDescent="0.2">
      <c r="A11" s="161" t="s">
        <v>242</v>
      </c>
      <c r="B11" s="163" t="s">
        <v>271</v>
      </c>
      <c r="C11" s="161">
        <v>1</v>
      </c>
      <c r="D11" s="161">
        <f ca="1">OFFSET($Q$1,C11,0)</f>
        <v>0</v>
      </c>
      <c r="E11" s="172"/>
      <c r="G11" s="133" t="s">
        <v>359</v>
      </c>
      <c r="H11" s="182">
        <f>IF(H9="Y",H8*RoRoDiscountRate,0)</f>
        <v>0</v>
      </c>
      <c r="J11" s="161" t="s">
        <v>349</v>
      </c>
      <c r="K11" s="204">
        <f>IF(fCargoType&lt;&gt;6,0,C16*Prices!E72)</f>
        <v>0</v>
      </c>
      <c r="N11" s="161" t="s">
        <v>13</v>
      </c>
      <c r="O11" s="161" t="s">
        <v>13</v>
      </c>
      <c r="U11" s="133" t="str">
        <f>IF(IF($C$2=1,P11,Q11)="","",IF($C$2=1,P11,Q11))</f>
        <v/>
      </c>
    </row>
    <row r="12" spans="1:22" x14ac:dyDescent="0.2">
      <c r="A12" s="161" t="s">
        <v>237</v>
      </c>
      <c r="C12" s="169">
        <f>Estimator!I12</f>
        <v>0</v>
      </c>
      <c r="D12" s="169">
        <f>C12</f>
        <v>0</v>
      </c>
      <c r="E12" s="172"/>
      <c r="G12" s="133" t="s">
        <v>295</v>
      </c>
      <c r="H12" s="161" t="e">
        <f ca="1">IF(OR(SeaRateCode="Shift",RiverRateCode="Shift",ISNA(SeaRateCode)),"na",IF(AND(fVesselType=7,fLOA&gt;210),"Cruise2",IF(AND(fVesselType=2,fLOA&gt;345),"Container2",IF(AND(OR(fVesselType=3,fVesselType=4),fLOA&gt;225,fDraught&gt;=12.5),"Tanker2",IF(AND(OR(fVesselType=3,fVesselType=4),OR(fLOA&gt;200,fDraught&gt;=11)),"Tanker1","na")))))</f>
        <v>#N/A</v>
      </c>
      <c r="J12" s="161" t="s">
        <v>350</v>
      </c>
      <c r="K12" s="204">
        <f>IF(fCargoType&lt;&gt;6,0,C17*Prices!E73)</f>
        <v>0</v>
      </c>
      <c r="N12" s="161" t="s">
        <v>128</v>
      </c>
      <c r="O12" s="161" t="s">
        <v>128</v>
      </c>
      <c r="U12" s="133" t="s">
        <v>454</v>
      </c>
      <c r="V12" s="161" t="s">
        <v>272</v>
      </c>
    </row>
    <row r="13" spans="1:22" x14ac:dyDescent="0.2">
      <c r="A13" s="229" t="s">
        <v>276</v>
      </c>
      <c r="D13" s="161" t="str">
        <f t="shared" ref="D13:D14" si="0">IF(C13=TRUE,"Y","N")</f>
        <v>N</v>
      </c>
      <c r="E13" s="172"/>
      <c r="G13" s="133" t="s">
        <v>292</v>
      </c>
      <c r="H13" s="175">
        <f ca="1">IFERROR(IF(RIGHT(H12,1)/1=2,2,1),1)</f>
        <v>1</v>
      </c>
      <c r="J13" s="161" t="s">
        <v>351</v>
      </c>
      <c r="K13" s="204">
        <f>IF(fCargoType&lt;&gt;6,0,C18*Prices!E74)</f>
        <v>0</v>
      </c>
      <c r="N13" s="161" t="s">
        <v>42</v>
      </c>
      <c r="O13" s="161" t="s">
        <v>42</v>
      </c>
      <c r="U13" s="133" t="s">
        <v>455</v>
      </c>
      <c r="V13" s="161" t="s">
        <v>262</v>
      </c>
    </row>
    <row r="14" spans="1:22" x14ac:dyDescent="0.2">
      <c r="A14" s="229" t="s">
        <v>277</v>
      </c>
      <c r="D14" s="161" t="str">
        <f t="shared" si="0"/>
        <v>N</v>
      </c>
      <c r="G14" s="133" t="s">
        <v>294</v>
      </c>
      <c r="H14" s="161" t="e">
        <f ca="1">IF(H12&lt;&gt;"na","Y","N")</f>
        <v>#N/A</v>
      </c>
      <c r="J14" s="161" t="s">
        <v>261</v>
      </c>
      <c r="K14" s="204">
        <f>IF(fCargoType&lt;&gt;6,0,C19*Prices!E76)</f>
        <v>0</v>
      </c>
      <c r="N14" s="161" t="s">
        <v>60</v>
      </c>
      <c r="O14" s="161" t="s">
        <v>60</v>
      </c>
      <c r="U14" s="133" t="s">
        <v>456</v>
      </c>
      <c r="V14" s="161" t="s">
        <v>272</v>
      </c>
    </row>
    <row r="15" spans="1:22" x14ac:dyDescent="0.2">
      <c r="A15" s="229" t="s">
        <v>280</v>
      </c>
      <c r="C15" s="161">
        <f>Estimator!J18</f>
        <v>0</v>
      </c>
      <c r="D15" s="161">
        <f>C15</f>
        <v>0</v>
      </c>
      <c r="G15" s="133" t="s">
        <v>5</v>
      </c>
      <c r="H15" s="182">
        <f ca="1">IFERROR(VLOOKUP(H12,Prices!$C$47:$M$50,5,FALSE),0)</f>
        <v>0</v>
      </c>
      <c r="J15" s="133" t="s">
        <v>353</v>
      </c>
      <c r="K15" s="204">
        <f>SUM(K9:K14)</f>
        <v>0</v>
      </c>
      <c r="N15" s="161" t="s">
        <v>62</v>
      </c>
      <c r="O15" s="161" t="s">
        <v>62</v>
      </c>
      <c r="U15" s="133" t="s">
        <v>457</v>
      </c>
      <c r="V15" s="161" t="s">
        <v>262</v>
      </c>
    </row>
    <row r="16" spans="1:22" x14ac:dyDescent="0.2">
      <c r="A16" s="229" t="s">
        <v>281</v>
      </c>
      <c r="C16" s="175">
        <f>Estimator!J20</f>
        <v>0</v>
      </c>
      <c r="D16" s="161">
        <f t="shared" ref="D16:D19" si="1">C16</f>
        <v>0</v>
      </c>
      <c r="G16" s="133" t="s">
        <v>296</v>
      </c>
      <c r="H16" s="161" t="str">
        <f>IF(fVesselType=3,"Y","N")</f>
        <v>N</v>
      </c>
      <c r="J16" s="133" t="s">
        <v>340</v>
      </c>
      <c r="K16" s="203" t="str">
        <f>IF(fCargoType=2,Prices!E80,IF(fCargoType=3,Prices!E81,"na"))</f>
        <v>na</v>
      </c>
      <c r="N16" s="161" t="s">
        <v>64</v>
      </c>
      <c r="O16" s="161" t="s">
        <v>64</v>
      </c>
      <c r="U16" s="133" t="s">
        <v>458</v>
      </c>
      <c r="V16" s="161" t="s">
        <v>279</v>
      </c>
    </row>
    <row r="17" spans="1:14" x14ac:dyDescent="0.2">
      <c r="A17" s="229" t="s">
        <v>282</v>
      </c>
      <c r="C17" s="175">
        <f>Estimator!J22</f>
        <v>0</v>
      </c>
      <c r="D17" s="161">
        <f t="shared" si="1"/>
        <v>0</v>
      </c>
      <c r="G17" s="133" t="s">
        <v>333</v>
      </c>
      <c r="H17" s="182">
        <f>IF(fVesselType=3,Pilots_Required*Prices!K44,0)</f>
        <v>0</v>
      </c>
      <c r="J17" s="133" t="s">
        <v>341</v>
      </c>
      <c r="K17" s="204">
        <f>IF(fCargoType=4,0,IF(K16="na",0,K16*fCargoTonnage))</f>
        <v>0</v>
      </c>
    </row>
    <row r="18" spans="1:14" x14ac:dyDescent="0.2">
      <c r="A18" s="229" t="s">
        <v>283</v>
      </c>
      <c r="C18" s="175">
        <f>Estimator!J24</f>
        <v>0</v>
      </c>
      <c r="D18" s="161">
        <f t="shared" si="1"/>
        <v>0</v>
      </c>
      <c r="G18" s="185" t="s">
        <v>8</v>
      </c>
      <c r="H18" s="182" t="e">
        <f ca="1">IF(OR(SeaRateCode="Shift",RiverRateCode="Shift"),0,IF(VLOOKUP(LOC,FindRates5[],4,FALSE)&gt;0,IF(AND(Pilots_Required=2,$H$12&lt;&gt;"Cruise2"),VLOOKUP(fLOA,BLRates2,2,TRUE)*2,VLOOKUP(fLOA,BLRates2,2,TRUE)),0))</f>
        <v>#N/A</v>
      </c>
      <c r="J18" s="133" t="s">
        <v>352</v>
      </c>
      <c r="K18" s="161">
        <f>1-IF(fESI=2,0.1,IF(fESI=3,0.25,IF(fESI=4,1,0)))</f>
        <v>1</v>
      </c>
    </row>
    <row r="19" spans="1:14" x14ac:dyDescent="0.2">
      <c r="A19" s="229" t="s">
        <v>261</v>
      </c>
      <c r="C19" s="175">
        <f>Estimator!J26</f>
        <v>0</v>
      </c>
      <c r="D19" s="161">
        <f t="shared" si="1"/>
        <v>0</v>
      </c>
      <c r="G19" s="185" t="s">
        <v>9</v>
      </c>
      <c r="H19" s="182" t="e">
        <f ca="1">IF(OR(SeaRateCode="Shift",RiverRateCode="Shift"),0,IF(VLOOKUP(LOC,FindRates5[],7,FALSE)&gt;0,IF(AND(Pilots_Required=2,$H$12&lt;&gt;"Cruise2"),VLOOKUP(fLOA,BLRates2,5,TRUE)*2,VLOOKUP(fLOA,BLRates2,5,TRUE)),0))</f>
        <v>#N/A</v>
      </c>
      <c r="J19" s="133" t="s">
        <v>370</v>
      </c>
      <c r="K19" s="204">
        <f>ROUND((1-ESI_Applicable_Rate)*Vessel_Conservancy_Charge,2)</f>
        <v>0</v>
      </c>
    </row>
    <row r="20" spans="1:14" x14ac:dyDescent="0.2">
      <c r="A20" s="229" t="s">
        <v>364</v>
      </c>
      <c r="C20" s="175"/>
      <c r="E20" s="172"/>
      <c r="G20" s="185" t="s">
        <v>10</v>
      </c>
      <c r="H20" s="182" t="e">
        <f ca="1">IF(OR(SeaRateCode="Shift",RiverRateCode="Shift"),0,IF(VLOOKUP(LOC,FindRates5[],5,FALSE)&gt;0,IF(AND(Pilots_Required=2,$H$12&lt;&gt;"Cruise2"),VLOOKUP(fLOA,BLRates2,2,TRUE)*2,VLOOKUP(fLOA,BLRates2,2,TRUE)),0))</f>
        <v>#N/A</v>
      </c>
      <c r="J20" s="133" t="s">
        <v>367</v>
      </c>
      <c r="K20" s="204">
        <f>IF(fVesselType=3,Pilots_Required*Prices!K44,0)</f>
        <v>0</v>
      </c>
    </row>
    <row r="21" spans="1:14" x14ac:dyDescent="0.2">
      <c r="A21" s="174"/>
      <c r="B21" s="174"/>
      <c r="C21" s="174"/>
      <c r="D21" s="176"/>
      <c r="E21" s="172"/>
      <c r="G21" s="185" t="s">
        <v>11</v>
      </c>
      <c r="H21" s="182" t="e">
        <f ca="1">IF(OR(SeaRateCode="Shift",RiverRateCode="Shift"),0,IF(VLOOKUP(LOC,FindRates5[],6,FALSE)&gt;0,IF(AND(Pilots_Required=2,$H$12&lt;&gt;"Cruise2"),VLOOKUP(fLOA,BLRates2,2,TRUE)*2,VLOOKUP(fLOA,BLRates2,2,TRUE)),0))</f>
        <v>#N/A</v>
      </c>
    </row>
    <row r="22" spans="1:14" x14ac:dyDescent="0.2">
      <c r="C22" s="169"/>
      <c r="D22" s="169"/>
      <c r="E22" s="172"/>
      <c r="G22" s="185" t="s">
        <v>12</v>
      </c>
      <c r="H22" s="182" t="e">
        <f ca="1">IF(OR(SeaRateCode="Shift",RiverRateCode="Shift"),0,IF(VLOOKUP(LOC,FindRates5[],9,FALSE)&gt;0,IF(AND(Pilots_Required=2,$H$12&lt;&gt;"Cruise2"),VLOOKUP(fLOA,BLRates2,4,TRUE)*2,VLOOKUP(fLOA,BLRates2,4,TRUE)),0))</f>
        <v>#N/A</v>
      </c>
    </row>
    <row r="23" spans="1:14" x14ac:dyDescent="0.2">
      <c r="E23" s="161"/>
      <c r="F23" s="161"/>
      <c r="G23" s="185" t="s">
        <v>13</v>
      </c>
      <c r="H23" s="182" t="e">
        <f ca="1">IF(OR(SeaRateCode="Shift",RiverRateCode="Shift"),0,IF(VLOOKUP(LOC,FindRates5[],8,FALSE)&gt;0,IF(H12="Cruise2",VLOOKUP(fLOA,BLRates2,3,TRUE)*2,VLOOKUP(fLOA,BLRates2,3,TRUE)),0))</f>
        <v>#N/A</v>
      </c>
      <c r="N23" s="161" t="s">
        <v>371</v>
      </c>
    </row>
    <row r="24" spans="1:14" x14ac:dyDescent="0.2">
      <c r="F24" s="161"/>
      <c r="G24" s="133" t="s">
        <v>311</v>
      </c>
      <c r="H24" s="161" t="e">
        <f ca="1">IF(H18&gt;0,G18,IF(H19&gt;0,G19,IF(H20&gt;0,G20,IF(H21&gt;0,G21,IF(H22&gt;0,G22,IF(H23&gt;0,G23,""))))))</f>
        <v>#N/A</v>
      </c>
    </row>
    <row r="25" spans="1:14" x14ac:dyDescent="0.2">
      <c r="G25" s="133" t="s">
        <v>368</v>
      </c>
      <c r="H25" s="182" t="e">
        <f ca="1">IF(H24="","",VLOOKUP(H24,$G$18:$H$23,2,FALSE))</f>
        <v>#N/A</v>
      </c>
    </row>
    <row r="26" spans="1:14" x14ac:dyDescent="0.2">
      <c r="G26" s="133" t="s">
        <v>312</v>
      </c>
      <c r="H26" s="161" t="e">
        <f ca="1">IF(AND(G18&lt;&gt;$H$24,H18&gt;0),G18,IF(AND(G19&lt;&gt;$H$24,H19&gt;0),G19,IF(AND(G20&lt;&gt;$H$24,H20&gt;0),G20,IF(AND(G21&lt;&gt;$H$24,H21&gt;0),G21,IF(AND(G22&lt;&gt;$H$24,H22&gt;0),G22,IF(AND(G23&lt;&gt;$H$24,H23&gt;0),G23,""))))))</f>
        <v>#N/A</v>
      </c>
    </row>
    <row r="27" spans="1:14" x14ac:dyDescent="0.2">
      <c r="G27" s="133" t="s">
        <v>369</v>
      </c>
      <c r="H27" s="182" t="e">
        <f ca="1">IF(H26="","",VLOOKUP(H26,$G$18:$H$23,2,FALSE))</f>
        <v>#N/A</v>
      </c>
    </row>
    <row r="28" spans="1:14" x14ac:dyDescent="0.2">
      <c r="G28" s="133" t="s">
        <v>342</v>
      </c>
      <c r="H28" s="161" t="e">
        <f ca="1">IF(AND(fTilbury=TRUE,OR(fLOA&gt;=160,fDraught&gt;=8,fBeam&gt;=25)),"N",IF(AND(RiverRateCode="N/A",OR(E2="A",E3="A")),"Y","N"))</f>
        <v>#N/A</v>
      </c>
      <c r="J28" s="230" t="s">
        <v>360</v>
      </c>
      <c r="K28" s="231" t="str">
        <f>IF(OR(fFrom=1,fTo=1,fLOA=0,fVesselType=1,fVesselGT=0,AND(fTilbury=TRUE,fBeam=0)),"N","Y")</f>
        <v>N</v>
      </c>
    </row>
    <row r="29" spans="1:14" x14ac:dyDescent="0.2">
      <c r="F29" s="161"/>
      <c r="G29" s="133" t="s">
        <v>470</v>
      </c>
      <c r="H29" s="161" t="e">
        <f ca="1">IF(OR(H24="",H24="*Gravesend",H24="Gravesend"),0,1)+IF(OR(H26="",H26="*Gravesend",H26="Gravesend"),0,1)</f>
        <v>#N/A</v>
      </c>
    </row>
    <row r="30" spans="1:14" x14ac:dyDescent="0.2">
      <c r="F30" s="161"/>
    </row>
    <row r="31" spans="1:14" x14ac:dyDescent="0.2">
      <c r="F31" s="161"/>
    </row>
    <row r="32" spans="1:14" x14ac:dyDescent="0.2">
      <c r="G32" s="161"/>
    </row>
    <row r="33" spans="1:4" x14ac:dyDescent="0.2">
      <c r="A33" s="163" t="s">
        <v>305</v>
      </c>
    </row>
    <row r="34" spans="1:4" x14ac:dyDescent="0.2">
      <c r="A34" s="161" t="s">
        <v>287</v>
      </c>
      <c r="B34" s="161" t="s">
        <v>299</v>
      </c>
    </row>
    <row r="35" spans="1:4" x14ac:dyDescent="0.2">
      <c r="A35" s="161" t="s">
        <v>288</v>
      </c>
      <c r="B35" s="161" t="s">
        <v>299</v>
      </c>
    </row>
    <row r="36" spans="1:4" x14ac:dyDescent="0.2">
      <c r="A36" s="161" t="s">
        <v>290</v>
      </c>
      <c r="B36" s="161" t="s">
        <v>300</v>
      </c>
    </row>
    <row r="37" spans="1:4" x14ac:dyDescent="0.2">
      <c r="A37" s="161" t="s">
        <v>291</v>
      </c>
      <c r="B37" s="161" t="s">
        <v>301</v>
      </c>
    </row>
    <row r="38" spans="1:4" x14ac:dyDescent="0.2">
      <c r="A38" s="161" t="s">
        <v>298</v>
      </c>
      <c r="B38" s="161" t="s">
        <v>302</v>
      </c>
    </row>
    <row r="39" spans="1:4" x14ac:dyDescent="0.2">
      <c r="A39" s="161" t="s">
        <v>303</v>
      </c>
      <c r="B39" s="161" t="s">
        <v>304</v>
      </c>
    </row>
    <row r="40" spans="1:4" x14ac:dyDescent="0.2">
      <c r="A40" s="161" t="s">
        <v>307</v>
      </c>
      <c r="B40" s="161" t="s">
        <v>306</v>
      </c>
    </row>
    <row r="41" spans="1:4" x14ac:dyDescent="0.2">
      <c r="A41" s="161" t="s">
        <v>308</v>
      </c>
      <c r="B41" s="161" t="s">
        <v>313</v>
      </c>
      <c r="C41" s="133"/>
      <c r="D41" s="133"/>
    </row>
    <row r="42" spans="1:4" x14ac:dyDescent="0.2">
      <c r="A42" s="161" t="s">
        <v>342</v>
      </c>
      <c r="B42" s="161" t="s">
        <v>343</v>
      </c>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A7D1-9D49-436E-904A-C5E7DA4A91C1}">
  <sheetPr codeName="Sheet4"/>
  <dimension ref="A1:I69"/>
  <sheetViews>
    <sheetView workbookViewId="0">
      <selection activeCell="N12" sqref="N12"/>
    </sheetView>
  </sheetViews>
  <sheetFormatPr defaultRowHeight="12" x14ac:dyDescent="0.2"/>
  <cols>
    <col min="1" max="1" width="32.42578125" style="106" customWidth="1"/>
    <col min="2" max="3" width="10.5703125" style="107" customWidth="1"/>
    <col min="4" max="16384" width="9.140625" style="106"/>
  </cols>
  <sheetData>
    <row r="1" spans="1:9" x14ac:dyDescent="0.2">
      <c r="A1" s="118" t="s">
        <v>156</v>
      </c>
      <c r="B1" s="348" t="s">
        <v>165</v>
      </c>
      <c r="C1" s="348"/>
      <c r="I1" s="313" t="s">
        <v>486</v>
      </c>
    </row>
    <row r="2" spans="1:9" x14ac:dyDescent="0.2">
      <c r="A2" s="106" t="s">
        <v>157</v>
      </c>
      <c r="B2" s="107" t="s">
        <v>158</v>
      </c>
      <c r="C2" s="107" t="s">
        <v>159</v>
      </c>
      <c r="E2" s="106" t="s">
        <v>159</v>
      </c>
      <c r="F2" s="106" t="s">
        <v>160</v>
      </c>
      <c r="I2" s="313" t="s">
        <v>487</v>
      </c>
    </row>
    <row r="3" spans="1:9" x14ac:dyDescent="0.2">
      <c r="A3" s="106">
        <v>0</v>
      </c>
      <c r="B3" s="107">
        <v>1.7999999999999999E-2</v>
      </c>
      <c r="C3" s="107">
        <v>3.7999999999999999E-2</v>
      </c>
      <c r="I3" s="313" t="s">
        <v>488</v>
      </c>
    </row>
    <row r="4" spans="1:9" x14ac:dyDescent="0.2">
      <c r="A4" s="106">
        <v>3000</v>
      </c>
      <c r="B4" s="107">
        <v>1.9E-2</v>
      </c>
      <c r="C4" s="107">
        <v>4.1000000000000002E-2</v>
      </c>
      <c r="I4" s="313" t="s">
        <v>489</v>
      </c>
    </row>
    <row r="5" spans="1:9" x14ac:dyDescent="0.2">
      <c r="A5" s="106">
        <v>10000</v>
      </c>
      <c r="B5" s="107">
        <v>0.02</v>
      </c>
      <c r="C5" s="107">
        <v>4.2999999999999997E-2</v>
      </c>
      <c r="E5" s="106" t="s">
        <v>234</v>
      </c>
    </row>
    <row r="6" spans="1:9" x14ac:dyDescent="0.2">
      <c r="A6" s="106">
        <v>55000</v>
      </c>
      <c r="B6" s="107">
        <v>2.1000000000000001E-2</v>
      </c>
      <c r="C6" s="107">
        <v>4.5999999999999999E-2</v>
      </c>
      <c r="E6" s="106" t="s">
        <v>235</v>
      </c>
    </row>
    <row r="7" spans="1:9" x14ac:dyDescent="0.2">
      <c r="A7" s="106">
        <v>100000</v>
      </c>
      <c r="B7" s="107">
        <v>2.5999999999999999E-2</v>
      </c>
      <c r="C7" s="107">
        <v>5.8000000000000003E-2</v>
      </c>
    </row>
    <row r="9" spans="1:9" x14ac:dyDescent="0.2">
      <c r="A9" s="118" t="s">
        <v>170</v>
      </c>
      <c r="B9" s="348" t="s">
        <v>165</v>
      </c>
      <c r="C9" s="348"/>
    </row>
    <row r="10" spans="1:9" x14ac:dyDescent="0.2">
      <c r="A10" s="106" t="s">
        <v>161</v>
      </c>
      <c r="B10" s="108">
        <v>0</v>
      </c>
      <c r="C10" s="107">
        <v>4.2999999999999997E-2</v>
      </c>
    </row>
    <row r="11" spans="1:9" x14ac:dyDescent="0.2">
      <c r="A11" s="106" t="s">
        <v>161</v>
      </c>
      <c r="B11" s="108">
        <v>3000</v>
      </c>
      <c r="C11" s="107">
        <v>0.10199999999999999</v>
      </c>
    </row>
    <row r="12" spans="1:9" x14ac:dyDescent="0.2">
      <c r="A12" s="106" t="s">
        <v>161</v>
      </c>
      <c r="B12" s="108">
        <v>10000</v>
      </c>
      <c r="C12" s="107">
        <v>0.19</v>
      </c>
    </row>
    <row r="13" spans="1:9" x14ac:dyDescent="0.2">
      <c r="A13" s="106" t="s">
        <v>161</v>
      </c>
      <c r="B13" s="108">
        <v>55000</v>
      </c>
      <c r="C13" s="107">
        <v>0.17599999999999999</v>
      </c>
    </row>
    <row r="14" spans="1:9" x14ac:dyDescent="0.2">
      <c r="A14" s="106" t="s">
        <v>162</v>
      </c>
      <c r="B14" s="108">
        <v>0</v>
      </c>
      <c r="C14" s="107">
        <v>1.4E-2</v>
      </c>
    </row>
    <row r="15" spans="1:9" x14ac:dyDescent="0.2">
      <c r="A15" s="106" t="s">
        <v>162</v>
      </c>
      <c r="B15" s="108">
        <v>10000</v>
      </c>
      <c r="C15" s="107">
        <v>2.3E-2</v>
      </c>
    </row>
    <row r="16" spans="1:9" x14ac:dyDescent="0.2">
      <c r="A16" s="106" t="s">
        <v>162</v>
      </c>
      <c r="B16" s="108">
        <v>25000</v>
      </c>
      <c r="C16" s="107">
        <v>4.3999999999999997E-2</v>
      </c>
    </row>
    <row r="17" spans="1:5" x14ac:dyDescent="0.2">
      <c r="A17" s="106" t="s">
        <v>163</v>
      </c>
      <c r="B17" s="108"/>
      <c r="C17" s="107">
        <v>6.2E-2</v>
      </c>
    </row>
    <row r="19" spans="1:5" x14ac:dyDescent="0.2">
      <c r="A19" s="106" t="s">
        <v>164</v>
      </c>
      <c r="C19" s="107">
        <v>33</v>
      </c>
      <c r="E19" s="109" t="s">
        <v>168</v>
      </c>
    </row>
    <row r="21" spans="1:5" x14ac:dyDescent="0.2">
      <c r="A21" s="118" t="s">
        <v>166</v>
      </c>
    </row>
    <row r="22" spans="1:5" x14ac:dyDescent="0.2">
      <c r="A22" s="106">
        <v>30</v>
      </c>
      <c r="B22" s="110">
        <v>0.1</v>
      </c>
    </row>
    <row r="23" spans="1:5" x14ac:dyDescent="0.2">
      <c r="A23" s="106">
        <v>50</v>
      </c>
      <c r="B23" s="110">
        <v>0.25</v>
      </c>
    </row>
    <row r="24" spans="1:5" x14ac:dyDescent="0.2">
      <c r="A24" s="106" t="s">
        <v>167</v>
      </c>
      <c r="B24" s="110">
        <v>1</v>
      </c>
      <c r="E24" s="109" t="s">
        <v>169</v>
      </c>
    </row>
    <row r="27" spans="1:5" x14ac:dyDescent="0.2">
      <c r="A27" s="118" t="s">
        <v>171</v>
      </c>
      <c r="B27" s="112"/>
      <c r="C27" s="112"/>
    </row>
    <row r="28" spans="1:5" x14ac:dyDescent="0.2">
      <c r="A28" s="106" t="s">
        <v>179</v>
      </c>
      <c r="B28" s="108"/>
    </row>
    <row r="29" spans="1:5" x14ac:dyDescent="0.2">
      <c r="A29" s="111" t="s">
        <v>172</v>
      </c>
      <c r="B29" s="113" t="s">
        <v>175</v>
      </c>
      <c r="C29" s="107">
        <v>0.29299999999999998</v>
      </c>
      <c r="E29" s="106" t="s">
        <v>174</v>
      </c>
    </row>
    <row r="30" spans="1:5" x14ac:dyDescent="0.2">
      <c r="A30" s="111" t="s">
        <v>173</v>
      </c>
      <c r="B30" s="113" t="s">
        <v>175</v>
      </c>
      <c r="C30" s="107">
        <v>0.19600000000000001</v>
      </c>
      <c r="E30" s="106" t="s">
        <v>176</v>
      </c>
    </row>
    <row r="31" spans="1:5" x14ac:dyDescent="0.2">
      <c r="A31" s="106" t="s">
        <v>180</v>
      </c>
      <c r="B31" s="108"/>
    </row>
    <row r="32" spans="1:5" x14ac:dyDescent="0.2">
      <c r="A32" s="106">
        <v>0</v>
      </c>
      <c r="B32" s="113" t="s">
        <v>177</v>
      </c>
      <c r="C32" s="107">
        <v>2.2799999999999998</v>
      </c>
    </row>
    <row r="33" spans="1:5" x14ac:dyDescent="0.2">
      <c r="A33" s="106">
        <v>20</v>
      </c>
      <c r="B33" s="113" t="s">
        <v>177</v>
      </c>
      <c r="C33" s="107">
        <v>3.31</v>
      </c>
    </row>
    <row r="34" spans="1:5" x14ac:dyDescent="0.2">
      <c r="A34" s="106">
        <v>30</v>
      </c>
      <c r="B34" s="113" t="s">
        <v>177</v>
      </c>
      <c r="C34" s="107">
        <v>3.81</v>
      </c>
    </row>
    <row r="35" spans="1:5" x14ac:dyDescent="0.2">
      <c r="A35" s="106">
        <v>40</v>
      </c>
      <c r="B35" s="113" t="s">
        <v>177</v>
      </c>
      <c r="C35" s="107">
        <v>3.81</v>
      </c>
    </row>
    <row r="36" spans="1:5" x14ac:dyDescent="0.2">
      <c r="A36" s="106">
        <v>45</v>
      </c>
      <c r="B36" s="113" t="s">
        <v>177</v>
      </c>
      <c r="C36" s="114" t="s">
        <v>178</v>
      </c>
    </row>
    <row r="37" spans="1:5" x14ac:dyDescent="0.2">
      <c r="A37" s="106" t="s">
        <v>181</v>
      </c>
      <c r="B37" s="113" t="s">
        <v>177</v>
      </c>
      <c r="C37" s="107">
        <v>3.04</v>
      </c>
    </row>
    <row r="38" spans="1:5" x14ac:dyDescent="0.2">
      <c r="A38" s="115" t="s">
        <v>182</v>
      </c>
      <c r="B38" s="116" t="s">
        <v>183</v>
      </c>
      <c r="C38" s="116">
        <v>110</v>
      </c>
      <c r="D38" s="115"/>
      <c r="E38" s="117" t="s">
        <v>184</v>
      </c>
    </row>
    <row r="41" spans="1:5" x14ac:dyDescent="0.2">
      <c r="A41" s="118" t="s">
        <v>198</v>
      </c>
      <c r="E41" s="106" t="s">
        <v>185</v>
      </c>
    </row>
    <row r="42" spans="1:5" x14ac:dyDescent="0.2">
      <c r="A42" s="106" t="s">
        <v>186</v>
      </c>
      <c r="B42" s="107" t="s">
        <v>175</v>
      </c>
      <c r="C42" s="107">
        <v>0.04</v>
      </c>
      <c r="E42" s="109" t="s">
        <v>188</v>
      </c>
    </row>
    <row r="43" spans="1:5" x14ac:dyDescent="0.2">
      <c r="A43" s="106" t="s">
        <v>187</v>
      </c>
      <c r="B43" s="107" t="s">
        <v>175</v>
      </c>
      <c r="C43" s="107">
        <v>0.02</v>
      </c>
    </row>
    <row r="46" spans="1:5" x14ac:dyDescent="0.2">
      <c r="A46" s="118" t="s">
        <v>196</v>
      </c>
      <c r="B46" s="107" t="s">
        <v>157</v>
      </c>
      <c r="E46" s="109" t="s">
        <v>197</v>
      </c>
    </row>
    <row r="47" spans="1:5" x14ac:dyDescent="0.2">
      <c r="A47" s="106">
        <v>0</v>
      </c>
      <c r="C47" s="124">
        <v>52</v>
      </c>
    </row>
    <row r="48" spans="1:5" x14ac:dyDescent="0.2">
      <c r="A48" s="106">
        <v>5000</v>
      </c>
      <c r="C48" s="124">
        <v>64</v>
      </c>
    </row>
    <row r="49" spans="1:5" x14ac:dyDescent="0.2">
      <c r="A49" s="106">
        <v>10000</v>
      </c>
      <c r="C49" s="124">
        <v>99</v>
      </c>
    </row>
    <row r="50" spans="1:5" x14ac:dyDescent="0.2">
      <c r="A50" s="106">
        <v>15000</v>
      </c>
      <c r="C50" s="124">
        <v>197</v>
      </c>
    </row>
    <row r="51" spans="1:5" x14ac:dyDescent="0.2">
      <c r="A51" s="106">
        <v>25000</v>
      </c>
      <c r="C51" s="124">
        <v>232</v>
      </c>
    </row>
    <row r="52" spans="1:5" x14ac:dyDescent="0.2">
      <c r="A52" s="106">
        <v>50000</v>
      </c>
      <c r="C52" s="124">
        <v>265</v>
      </c>
    </row>
    <row r="53" spans="1:5" x14ac:dyDescent="0.2">
      <c r="A53" s="106">
        <v>100000</v>
      </c>
      <c r="C53" s="124">
        <v>331</v>
      </c>
    </row>
    <row r="57" spans="1:5" x14ac:dyDescent="0.2">
      <c r="A57" s="123" t="s">
        <v>189</v>
      </c>
      <c r="B57" s="119"/>
      <c r="C57" s="119"/>
      <c r="D57" s="119"/>
      <c r="E57" s="119"/>
    </row>
    <row r="58" spans="1:5" x14ac:dyDescent="0.2">
      <c r="A58" s="119" t="s">
        <v>190</v>
      </c>
      <c r="B58" s="120">
        <v>0.5</v>
      </c>
      <c r="C58" s="119"/>
      <c r="D58" s="119"/>
      <c r="E58" s="119"/>
    </row>
    <row r="59" spans="1:5" x14ac:dyDescent="0.2">
      <c r="A59" s="119" t="s">
        <v>191</v>
      </c>
      <c r="B59" s="121" t="s">
        <v>192</v>
      </c>
      <c r="C59" s="119"/>
      <c r="D59" s="119"/>
      <c r="E59" s="119"/>
    </row>
    <row r="60" spans="1:5" x14ac:dyDescent="0.2">
      <c r="A60" s="119" t="s">
        <v>193</v>
      </c>
      <c r="B60" s="120">
        <v>1</v>
      </c>
      <c r="C60" s="119"/>
      <c r="D60" s="119"/>
      <c r="E60" s="119"/>
    </row>
    <row r="61" spans="1:5" x14ac:dyDescent="0.2">
      <c r="A61" s="119" t="s">
        <v>107</v>
      </c>
      <c r="B61" s="121" t="s">
        <v>194</v>
      </c>
      <c r="C61" s="119"/>
      <c r="D61" s="119"/>
      <c r="E61" s="119"/>
    </row>
    <row r="62" spans="1:5" x14ac:dyDescent="0.2">
      <c r="A62" s="119" t="s">
        <v>195</v>
      </c>
      <c r="B62" s="122">
        <v>650</v>
      </c>
      <c r="C62" s="119"/>
      <c r="D62" s="119"/>
      <c r="E62" s="119"/>
    </row>
    <row r="63" spans="1:5" x14ac:dyDescent="0.2">
      <c r="A63" s="119"/>
      <c r="B63" s="121"/>
      <c r="C63" s="119"/>
      <c r="D63" s="119"/>
      <c r="E63" s="119"/>
    </row>
    <row r="64" spans="1:5" x14ac:dyDescent="0.2">
      <c r="A64" s="119"/>
      <c r="B64" s="121"/>
      <c r="C64" s="119"/>
      <c r="D64" s="119"/>
      <c r="E64" s="119"/>
    </row>
    <row r="65" spans="1:5" x14ac:dyDescent="0.2">
      <c r="A65" s="119"/>
      <c r="B65" s="121"/>
      <c r="C65" s="119"/>
      <c r="D65" s="119"/>
      <c r="E65" s="119"/>
    </row>
    <row r="66" spans="1:5" x14ac:dyDescent="0.2">
      <c r="A66" s="119"/>
      <c r="B66" s="119"/>
      <c r="C66" s="119"/>
      <c r="D66" s="119"/>
      <c r="E66" s="119"/>
    </row>
    <row r="67" spans="1:5" x14ac:dyDescent="0.2">
      <c r="A67" s="119"/>
      <c r="B67" s="119"/>
      <c r="C67" s="119"/>
      <c r="D67" s="119"/>
      <c r="E67" s="119"/>
    </row>
    <row r="68" spans="1:5" x14ac:dyDescent="0.2">
      <c r="A68" s="119"/>
      <c r="B68" s="119"/>
      <c r="C68" s="119"/>
      <c r="D68" s="119"/>
      <c r="E68" s="119"/>
    </row>
    <row r="69" spans="1:5" x14ac:dyDescent="0.2">
      <c r="A69" s="119"/>
      <c r="B69" s="119"/>
      <c r="C69" s="119"/>
      <c r="D69" s="119"/>
      <c r="E69" s="119"/>
    </row>
  </sheetData>
  <mergeCells count="2">
    <mergeCell ref="B1:C1"/>
    <mergeCell ref="B9:C9"/>
  </mergeCells>
  <phoneticPr fontId="1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C734E-1403-429A-B0B0-2C9FB5BF18DB}">
  <sheetPr codeName="Sheet5"/>
  <dimension ref="A1:H43"/>
  <sheetViews>
    <sheetView workbookViewId="0"/>
  </sheetViews>
  <sheetFormatPr defaultRowHeight="12.75" x14ac:dyDescent="0.2"/>
  <cols>
    <col min="1" max="1" width="9.140625" style="147"/>
    <col min="2" max="2" width="14.140625" style="147" customWidth="1"/>
    <col min="3" max="3" width="24.28515625" style="148" customWidth="1"/>
    <col min="4" max="4" width="22.42578125" style="133" bestFit="1" customWidth="1"/>
    <col min="5" max="5" width="2.7109375" style="133" customWidth="1"/>
    <col min="6" max="6" width="18.5703125" style="133" bestFit="1" customWidth="1"/>
    <col min="7" max="7" width="17.85546875" style="156" customWidth="1"/>
    <col min="8" max="8" width="13.5703125" style="133" bestFit="1" customWidth="1"/>
    <col min="9" max="16384" width="9.140625" style="133"/>
  </cols>
  <sheetData>
    <row r="1" spans="1:8" x14ac:dyDescent="0.2">
      <c r="A1" s="136" t="s">
        <v>213</v>
      </c>
      <c r="B1" s="136" t="s">
        <v>205</v>
      </c>
      <c r="C1" s="137" t="s">
        <v>217</v>
      </c>
      <c r="F1" s="158" t="s">
        <v>246</v>
      </c>
      <c r="G1" s="159" t="s">
        <v>247</v>
      </c>
    </row>
    <row r="2" spans="1:8" x14ac:dyDescent="0.2">
      <c r="A2" s="138" t="s">
        <v>214</v>
      </c>
      <c r="B2" s="138" t="s">
        <v>216</v>
      </c>
      <c r="C2" s="139" t="s">
        <v>8</v>
      </c>
      <c r="E2" s="133" t="s">
        <v>248</v>
      </c>
      <c r="F2" s="155" t="s">
        <v>227</v>
      </c>
      <c r="G2" s="157" t="s">
        <v>8</v>
      </c>
      <c r="H2" s="133">
        <v>1</v>
      </c>
    </row>
    <row r="3" spans="1:8" x14ac:dyDescent="0.2">
      <c r="A3" s="138" t="s">
        <v>214</v>
      </c>
      <c r="B3" s="138" t="s">
        <v>216</v>
      </c>
      <c r="C3" s="139" t="s">
        <v>9</v>
      </c>
      <c r="E3" s="133" t="s">
        <v>248</v>
      </c>
      <c r="F3" s="155" t="s">
        <v>228</v>
      </c>
      <c r="G3" s="157" t="s">
        <v>128</v>
      </c>
    </row>
    <row r="4" spans="1:8" x14ac:dyDescent="0.2">
      <c r="A4" s="138" t="s">
        <v>214</v>
      </c>
      <c r="B4" s="138" t="s">
        <v>216</v>
      </c>
      <c r="C4" s="139" t="s">
        <v>112</v>
      </c>
      <c r="E4" s="133" t="s">
        <v>248</v>
      </c>
      <c r="F4" s="155" t="s">
        <v>72</v>
      </c>
      <c r="G4" s="157">
        <v>100</v>
      </c>
    </row>
    <row r="5" spans="1:8" x14ac:dyDescent="0.2">
      <c r="A5" s="138" t="s">
        <v>214</v>
      </c>
      <c r="B5" s="138" t="s">
        <v>216</v>
      </c>
      <c r="C5" s="139" t="s">
        <v>11</v>
      </c>
      <c r="E5" s="133" t="s">
        <v>248</v>
      </c>
      <c r="F5" s="155" t="s">
        <v>229</v>
      </c>
      <c r="G5" s="157" t="s">
        <v>208</v>
      </c>
    </row>
    <row r="6" spans="1:8" x14ac:dyDescent="0.2">
      <c r="A6" s="138" t="s">
        <v>214</v>
      </c>
      <c r="B6" s="138" t="s">
        <v>216</v>
      </c>
      <c r="C6" s="139" t="s">
        <v>118</v>
      </c>
      <c r="F6" s="155" t="s">
        <v>236</v>
      </c>
      <c r="G6" s="157">
        <v>10000</v>
      </c>
    </row>
    <row r="7" spans="1:8" x14ac:dyDescent="0.2">
      <c r="A7" s="138" t="s">
        <v>214</v>
      </c>
      <c r="B7" s="138" t="s">
        <v>216</v>
      </c>
      <c r="C7" s="139" t="s">
        <v>122</v>
      </c>
      <c r="E7" s="133" t="s">
        <v>248</v>
      </c>
      <c r="F7" s="155" t="s">
        <v>78</v>
      </c>
      <c r="G7" s="157">
        <v>20</v>
      </c>
    </row>
    <row r="8" spans="1:8" x14ac:dyDescent="0.2">
      <c r="A8" s="138" t="s">
        <v>214</v>
      </c>
      <c r="B8" s="138" t="s">
        <v>216</v>
      </c>
      <c r="C8" s="139" t="s">
        <v>125</v>
      </c>
      <c r="E8" s="133" t="s">
        <v>248</v>
      </c>
      <c r="F8" s="155" t="s">
        <v>210</v>
      </c>
      <c r="G8" s="157">
        <v>6</v>
      </c>
    </row>
    <row r="9" spans="1:8" x14ac:dyDescent="0.2">
      <c r="A9" s="138" t="s">
        <v>214</v>
      </c>
      <c r="B9" s="138" t="s">
        <v>216</v>
      </c>
      <c r="C9" s="139" t="s">
        <v>13</v>
      </c>
      <c r="E9" s="133" t="s">
        <v>248</v>
      </c>
      <c r="F9" s="155" t="s">
        <v>230</v>
      </c>
      <c r="G9" s="157" t="s">
        <v>232</v>
      </c>
    </row>
    <row r="10" spans="1:8" x14ac:dyDescent="0.2">
      <c r="A10" s="138" t="s">
        <v>214</v>
      </c>
      <c r="B10" s="138" t="s">
        <v>216</v>
      </c>
      <c r="C10" s="139" t="s">
        <v>128</v>
      </c>
      <c r="F10" s="155" t="s">
        <v>242</v>
      </c>
      <c r="G10" s="157" t="s">
        <v>180</v>
      </c>
    </row>
    <row r="11" spans="1:8" x14ac:dyDescent="0.2">
      <c r="A11" s="138" t="s">
        <v>214</v>
      </c>
      <c r="B11" s="138" t="s">
        <v>216</v>
      </c>
      <c r="C11" s="139" t="s">
        <v>42</v>
      </c>
      <c r="F11" s="155" t="s">
        <v>237</v>
      </c>
      <c r="G11" s="157">
        <v>5000</v>
      </c>
      <c r="H11" s="133" t="s">
        <v>238</v>
      </c>
    </row>
    <row r="12" spans="1:8" x14ac:dyDescent="0.2">
      <c r="A12" s="138" t="s">
        <v>214</v>
      </c>
      <c r="B12" s="138" t="s">
        <v>216</v>
      </c>
      <c r="C12" s="139" t="s">
        <v>60</v>
      </c>
      <c r="F12" s="155" t="s">
        <v>243</v>
      </c>
      <c r="G12" s="157">
        <v>5000</v>
      </c>
      <c r="H12" s="133" t="s">
        <v>239</v>
      </c>
    </row>
    <row r="13" spans="1:8" x14ac:dyDescent="0.2">
      <c r="A13" s="138" t="s">
        <v>214</v>
      </c>
      <c r="B13" s="138" t="s">
        <v>216</v>
      </c>
      <c r="C13" s="139" t="s">
        <v>62</v>
      </c>
      <c r="F13" s="155" t="s">
        <v>240</v>
      </c>
      <c r="G13" s="157">
        <v>20</v>
      </c>
      <c r="H13" s="133" t="s">
        <v>239</v>
      </c>
    </row>
    <row r="14" spans="1:8" x14ac:dyDescent="0.2">
      <c r="A14" s="138" t="s">
        <v>214</v>
      </c>
      <c r="B14" s="138" t="s">
        <v>216</v>
      </c>
      <c r="C14" s="139" t="s">
        <v>64</v>
      </c>
      <c r="F14" s="155" t="s">
        <v>244</v>
      </c>
      <c r="G14" s="165" t="s">
        <v>222</v>
      </c>
    </row>
    <row r="15" spans="1:8" x14ac:dyDescent="0.2">
      <c r="A15" s="134" t="s">
        <v>215</v>
      </c>
      <c r="B15" s="134" t="s">
        <v>72</v>
      </c>
      <c r="C15" s="140" t="s">
        <v>211</v>
      </c>
      <c r="F15" s="155" t="s">
        <v>245</v>
      </c>
      <c r="G15" s="157">
        <v>5000</v>
      </c>
      <c r="H15" s="133" t="s">
        <v>238</v>
      </c>
    </row>
    <row r="16" spans="1:8" x14ac:dyDescent="0.2">
      <c r="A16" s="134" t="s">
        <v>215</v>
      </c>
      <c r="B16" s="134" t="s">
        <v>74</v>
      </c>
      <c r="C16" s="140" t="s">
        <v>206</v>
      </c>
      <c r="F16" s="155" t="s">
        <v>231</v>
      </c>
      <c r="G16" s="157"/>
    </row>
    <row r="17" spans="1:4" x14ac:dyDescent="0.2">
      <c r="A17" s="151" t="s">
        <v>215</v>
      </c>
      <c r="B17" s="151" t="s">
        <v>74</v>
      </c>
      <c r="C17" s="152" t="s">
        <v>224</v>
      </c>
    </row>
    <row r="18" spans="1:4" x14ac:dyDescent="0.2">
      <c r="A18" s="134" t="s">
        <v>215</v>
      </c>
      <c r="B18" s="134" t="s">
        <v>74</v>
      </c>
      <c r="C18" s="140" t="s">
        <v>75</v>
      </c>
    </row>
    <row r="19" spans="1:4" x14ac:dyDescent="0.2">
      <c r="A19" s="151" t="s">
        <v>215</v>
      </c>
      <c r="B19" s="151" t="s">
        <v>74</v>
      </c>
      <c r="C19" s="152" t="s">
        <v>223</v>
      </c>
      <c r="D19" s="133" t="s">
        <v>241</v>
      </c>
    </row>
    <row r="20" spans="1:4" x14ac:dyDescent="0.2">
      <c r="A20" s="134" t="s">
        <v>215</v>
      </c>
      <c r="B20" s="134" t="s">
        <v>74</v>
      </c>
      <c r="C20" s="140" t="s">
        <v>207</v>
      </c>
    </row>
    <row r="21" spans="1:4" x14ac:dyDescent="0.2">
      <c r="A21" s="134" t="s">
        <v>215</v>
      </c>
      <c r="B21" s="134" t="s">
        <v>74</v>
      </c>
      <c r="C21" s="140" t="s">
        <v>208</v>
      </c>
    </row>
    <row r="22" spans="1:4" x14ac:dyDescent="0.2">
      <c r="A22" s="134" t="s">
        <v>215</v>
      </c>
      <c r="B22" s="134" t="s">
        <v>74</v>
      </c>
      <c r="C22" s="140" t="s">
        <v>209</v>
      </c>
    </row>
    <row r="23" spans="1:4" x14ac:dyDescent="0.2">
      <c r="A23" s="135" t="s">
        <v>215</v>
      </c>
      <c r="B23" s="135" t="s">
        <v>78</v>
      </c>
      <c r="C23" s="141" t="s">
        <v>211</v>
      </c>
    </row>
    <row r="24" spans="1:4" x14ac:dyDescent="0.2">
      <c r="A24" s="135" t="s">
        <v>215</v>
      </c>
      <c r="B24" s="135" t="s">
        <v>210</v>
      </c>
      <c r="C24" s="141" t="s">
        <v>211</v>
      </c>
    </row>
    <row r="25" spans="1:4" x14ac:dyDescent="0.2">
      <c r="A25" s="142" t="s">
        <v>214</v>
      </c>
      <c r="B25" s="142" t="s">
        <v>212</v>
      </c>
      <c r="C25" s="143" t="s">
        <v>201</v>
      </c>
    </row>
    <row r="26" spans="1:4" x14ac:dyDescent="0.2">
      <c r="A26" s="149" t="s">
        <v>215</v>
      </c>
      <c r="B26" s="149" t="s">
        <v>74</v>
      </c>
      <c r="C26" s="150" t="s">
        <v>161</v>
      </c>
    </row>
    <row r="27" spans="1:4" x14ac:dyDescent="0.2">
      <c r="A27" s="149" t="s">
        <v>215</v>
      </c>
      <c r="B27" s="149" t="s">
        <v>74</v>
      </c>
      <c r="C27" s="150" t="s">
        <v>162</v>
      </c>
    </row>
    <row r="28" spans="1:4" x14ac:dyDescent="0.2">
      <c r="A28" s="149" t="s">
        <v>215</v>
      </c>
      <c r="B28" s="149" t="s">
        <v>74</v>
      </c>
      <c r="C28" s="150" t="s">
        <v>163</v>
      </c>
    </row>
    <row r="29" spans="1:4" x14ac:dyDescent="0.2">
      <c r="A29" s="144" t="s">
        <v>199</v>
      </c>
      <c r="B29" s="144" t="s">
        <v>200</v>
      </c>
      <c r="C29" s="145" t="s">
        <v>211</v>
      </c>
    </row>
    <row r="30" spans="1:4" x14ac:dyDescent="0.2">
      <c r="A30" s="153" t="s">
        <v>199</v>
      </c>
      <c r="B30" s="153" t="s">
        <v>159</v>
      </c>
      <c r="C30" s="154" t="s">
        <v>201</v>
      </c>
    </row>
    <row r="31" spans="1:4" x14ac:dyDescent="0.2">
      <c r="A31" s="144" t="s">
        <v>199</v>
      </c>
      <c r="B31" s="144" t="s">
        <v>220</v>
      </c>
      <c r="C31" s="145" t="s">
        <v>211</v>
      </c>
    </row>
    <row r="32" spans="1:4" x14ac:dyDescent="0.2">
      <c r="A32" s="144" t="s">
        <v>199</v>
      </c>
      <c r="B32" s="144" t="s">
        <v>240</v>
      </c>
      <c r="C32" s="145" t="s">
        <v>211</v>
      </c>
    </row>
    <row r="33" spans="1:3" x14ac:dyDescent="0.2">
      <c r="A33" s="144" t="s">
        <v>199</v>
      </c>
      <c r="B33" s="144" t="s">
        <v>202</v>
      </c>
      <c r="C33" s="145" t="s">
        <v>204</v>
      </c>
    </row>
    <row r="34" spans="1:3" x14ac:dyDescent="0.2">
      <c r="A34" s="144" t="s">
        <v>199</v>
      </c>
      <c r="B34" s="144" t="s">
        <v>202</v>
      </c>
      <c r="C34" s="145" t="s">
        <v>203</v>
      </c>
    </row>
    <row r="35" spans="1:3" x14ac:dyDescent="0.2">
      <c r="A35" s="144" t="s">
        <v>199</v>
      </c>
      <c r="B35" s="144" t="s">
        <v>202</v>
      </c>
      <c r="C35" s="145" t="s">
        <v>180</v>
      </c>
    </row>
    <row r="36" spans="1:3" x14ac:dyDescent="0.2">
      <c r="A36" s="144" t="s">
        <v>199</v>
      </c>
      <c r="B36" s="144" t="s">
        <v>202</v>
      </c>
      <c r="C36" s="145" t="s">
        <v>181</v>
      </c>
    </row>
    <row r="37" spans="1:3" x14ac:dyDescent="0.2">
      <c r="A37" s="144" t="s">
        <v>199</v>
      </c>
      <c r="B37" s="144" t="s">
        <v>198</v>
      </c>
      <c r="C37" s="145" t="s">
        <v>222</v>
      </c>
    </row>
    <row r="38" spans="1:3" x14ac:dyDescent="0.2">
      <c r="A38" s="144" t="s">
        <v>199</v>
      </c>
      <c r="B38" s="144" t="s">
        <v>198</v>
      </c>
      <c r="C38" s="145" t="s">
        <v>187</v>
      </c>
    </row>
    <row r="39" spans="1:3" x14ac:dyDescent="0.2">
      <c r="A39" s="134" t="s">
        <v>215</v>
      </c>
      <c r="B39" s="134" t="s">
        <v>218</v>
      </c>
      <c r="C39" s="146" t="s">
        <v>225</v>
      </c>
    </row>
    <row r="40" spans="1:3" x14ac:dyDescent="0.2">
      <c r="A40" s="134" t="s">
        <v>215</v>
      </c>
      <c r="B40" s="134" t="s">
        <v>218</v>
      </c>
      <c r="C40" s="146" t="s">
        <v>226</v>
      </c>
    </row>
    <row r="41" spans="1:3" x14ac:dyDescent="0.2">
      <c r="A41" s="134" t="s">
        <v>215</v>
      </c>
      <c r="B41" s="134" t="s">
        <v>218</v>
      </c>
      <c r="C41" s="146" t="s">
        <v>219</v>
      </c>
    </row>
    <row r="43" spans="1:3" x14ac:dyDescent="0.2">
      <c r="A43" s="147" t="s">
        <v>107</v>
      </c>
    </row>
  </sheetData>
  <dataValidations count="6">
    <dataValidation type="list" allowBlank="1" showInputMessage="1" showErrorMessage="1" sqref="G2:G3" xr:uid="{0F7DB4F4-75A4-426F-918A-37E6FE42E2F1}">
      <formula1>$C$2:$C$14</formula1>
    </dataValidation>
    <dataValidation type="list" allowBlank="1" showInputMessage="1" showErrorMessage="1" sqref="G5" xr:uid="{4E850D60-1FD0-48D4-BF9D-140F7348B79E}">
      <formula1>$C$16:$C$22</formula1>
    </dataValidation>
    <dataValidation type="list" allowBlank="1" showInputMessage="1" showErrorMessage="1" sqref="G9" xr:uid="{A52C5105-B586-4CDB-A35E-BD30706B9773}">
      <formula1>"Yes,No"</formula1>
    </dataValidation>
    <dataValidation type="list" allowBlank="1" showInputMessage="1" showErrorMessage="1" sqref="G10" xr:uid="{DED109DE-F076-4D49-9CA8-3DEAFE897AAC}">
      <formula1>$C$33:$C$36</formula1>
    </dataValidation>
    <dataValidation type="list" allowBlank="1" showInputMessage="1" showErrorMessage="1" sqref="G14" xr:uid="{9FC798B9-7385-4C94-BF1C-CC4D2E809D94}">
      <formula1>$C$37:$C$38</formula1>
    </dataValidation>
    <dataValidation type="list" allowBlank="1" showInputMessage="1" showErrorMessage="1" sqref="G16" xr:uid="{8AADB917-19BE-4B72-819E-3B5ACA5EA6BD}">
      <formula1>$C$39:$C$41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64702-3D77-421C-A3B2-D2908BCFA552}">
  <sheetPr codeName="Sheet7"/>
  <dimension ref="A1:D78"/>
  <sheetViews>
    <sheetView workbookViewId="0"/>
  </sheetViews>
  <sheetFormatPr defaultRowHeight="12.75" outlineLevelRow="1" x14ac:dyDescent="0.2"/>
  <cols>
    <col min="1" max="1" width="8.5703125" customWidth="1"/>
    <col min="2" max="2" width="60.42578125" style="240" customWidth="1"/>
    <col min="3" max="16384" width="9.140625" style="240"/>
  </cols>
  <sheetData>
    <row r="1" spans="1:4" x14ac:dyDescent="0.2">
      <c r="A1" s="243" t="s">
        <v>451</v>
      </c>
      <c r="B1" s="239" t="s">
        <v>373</v>
      </c>
      <c r="D1" s="241" t="s">
        <v>374</v>
      </c>
    </row>
    <row r="2" spans="1:4" x14ac:dyDescent="0.2">
      <c r="A2" s="244" t="s">
        <v>452</v>
      </c>
      <c r="B2" s="242" t="s">
        <v>375</v>
      </c>
    </row>
    <row r="3" spans="1:4" hidden="1" outlineLevel="1" x14ac:dyDescent="0.2">
      <c r="A3" t="s">
        <v>453</v>
      </c>
      <c r="B3" s="240" t="s">
        <v>376</v>
      </c>
    </row>
    <row r="4" spans="1:4" hidden="1" outlineLevel="1" x14ac:dyDescent="0.2">
      <c r="A4" t="s">
        <v>453</v>
      </c>
      <c r="B4" s="240" t="s">
        <v>377</v>
      </c>
    </row>
    <row r="5" spans="1:4" hidden="1" outlineLevel="1" x14ac:dyDescent="0.2">
      <c r="A5" t="s">
        <v>453</v>
      </c>
      <c r="B5" s="240" t="s">
        <v>378</v>
      </c>
    </row>
    <row r="6" spans="1:4" hidden="1" outlineLevel="1" x14ac:dyDescent="0.2">
      <c r="A6" t="s">
        <v>453</v>
      </c>
      <c r="B6" s="240" t="s">
        <v>379</v>
      </c>
    </row>
    <row r="7" spans="1:4" collapsed="1" x14ac:dyDescent="0.2">
      <c r="A7" s="244" t="s">
        <v>452</v>
      </c>
      <c r="B7" s="242" t="s">
        <v>380</v>
      </c>
    </row>
    <row r="8" spans="1:4" hidden="1" outlineLevel="1" x14ac:dyDescent="0.2">
      <c r="A8" t="s">
        <v>453</v>
      </c>
      <c r="B8" s="240" t="s">
        <v>381</v>
      </c>
    </row>
    <row r="9" spans="1:4" hidden="1" outlineLevel="1" x14ac:dyDescent="0.2">
      <c r="A9" t="s">
        <v>453</v>
      </c>
      <c r="B9" s="240" t="s">
        <v>382</v>
      </c>
    </row>
    <row r="10" spans="1:4" collapsed="1" x14ac:dyDescent="0.2">
      <c r="A10" s="244" t="s">
        <v>452</v>
      </c>
      <c r="B10" s="242" t="s">
        <v>383</v>
      </c>
    </row>
    <row r="11" spans="1:4" hidden="1" outlineLevel="1" x14ac:dyDescent="0.2">
      <c r="A11" t="s">
        <v>453</v>
      </c>
      <c r="B11" s="240" t="s">
        <v>384</v>
      </c>
    </row>
    <row r="12" spans="1:4" collapsed="1" x14ac:dyDescent="0.2">
      <c r="A12" s="244" t="s">
        <v>452</v>
      </c>
      <c r="B12" s="242" t="s">
        <v>385</v>
      </c>
    </row>
    <row r="13" spans="1:4" hidden="1" outlineLevel="1" x14ac:dyDescent="0.2">
      <c r="A13" t="s">
        <v>453</v>
      </c>
      <c r="B13" s="240" t="s">
        <v>386</v>
      </c>
    </row>
    <row r="14" spans="1:4" collapsed="1" x14ac:dyDescent="0.2">
      <c r="A14" s="244" t="s">
        <v>452</v>
      </c>
      <c r="B14" s="242" t="s">
        <v>387</v>
      </c>
    </row>
    <row r="15" spans="1:4" hidden="1" outlineLevel="1" x14ac:dyDescent="0.2">
      <c r="A15" t="s">
        <v>453</v>
      </c>
      <c r="B15" s="240" t="s">
        <v>388</v>
      </c>
    </row>
    <row r="16" spans="1:4" collapsed="1" x14ac:dyDescent="0.2">
      <c r="A16" s="244" t="s">
        <v>452</v>
      </c>
      <c r="B16" s="242" t="s">
        <v>389</v>
      </c>
    </row>
    <row r="17" spans="1:2" hidden="1" outlineLevel="1" x14ac:dyDescent="0.2">
      <c r="A17" t="s">
        <v>453</v>
      </c>
      <c r="B17" s="240" t="s">
        <v>390</v>
      </c>
    </row>
    <row r="18" spans="1:2" collapsed="1" x14ac:dyDescent="0.2">
      <c r="A18" s="244" t="s">
        <v>452</v>
      </c>
      <c r="B18" s="242" t="s">
        <v>391</v>
      </c>
    </row>
    <row r="19" spans="1:2" hidden="1" outlineLevel="1" x14ac:dyDescent="0.2">
      <c r="A19" t="s">
        <v>453</v>
      </c>
      <c r="B19" s="240" t="s">
        <v>392</v>
      </c>
    </row>
    <row r="20" spans="1:2" hidden="1" outlineLevel="1" x14ac:dyDescent="0.2">
      <c r="A20" t="s">
        <v>453</v>
      </c>
      <c r="B20" s="240" t="s">
        <v>393</v>
      </c>
    </row>
    <row r="21" spans="1:2" hidden="1" outlineLevel="1" x14ac:dyDescent="0.2">
      <c r="A21" t="s">
        <v>453</v>
      </c>
      <c r="B21" s="240" t="s">
        <v>394</v>
      </c>
    </row>
    <row r="22" spans="1:2" hidden="1" outlineLevel="1" x14ac:dyDescent="0.2">
      <c r="A22" t="s">
        <v>453</v>
      </c>
      <c r="B22" s="240" t="s">
        <v>395</v>
      </c>
    </row>
    <row r="23" spans="1:2" hidden="1" outlineLevel="1" x14ac:dyDescent="0.2">
      <c r="A23" t="s">
        <v>453</v>
      </c>
      <c r="B23" s="240" t="s">
        <v>396</v>
      </c>
    </row>
    <row r="24" spans="1:2" hidden="1" outlineLevel="1" x14ac:dyDescent="0.2">
      <c r="A24" t="s">
        <v>453</v>
      </c>
      <c r="B24" s="240" t="s">
        <v>397</v>
      </c>
    </row>
    <row r="25" spans="1:2" hidden="1" outlineLevel="1" x14ac:dyDescent="0.2">
      <c r="A25" t="s">
        <v>453</v>
      </c>
      <c r="B25" s="240" t="s">
        <v>398</v>
      </c>
    </row>
    <row r="26" spans="1:2" hidden="1" outlineLevel="1" x14ac:dyDescent="0.2">
      <c r="A26" t="s">
        <v>453</v>
      </c>
      <c r="B26" s="240" t="s">
        <v>399</v>
      </c>
    </row>
    <row r="27" spans="1:2" collapsed="1" x14ac:dyDescent="0.2">
      <c r="A27" s="244" t="s">
        <v>452</v>
      </c>
      <c r="B27" s="242" t="s">
        <v>400</v>
      </c>
    </row>
    <row r="28" spans="1:2" hidden="1" outlineLevel="1" x14ac:dyDescent="0.2">
      <c r="A28" t="s">
        <v>453</v>
      </c>
      <c r="B28" s="240" t="s">
        <v>401</v>
      </c>
    </row>
    <row r="29" spans="1:2" hidden="1" outlineLevel="1" x14ac:dyDescent="0.2">
      <c r="A29" t="s">
        <v>453</v>
      </c>
      <c r="B29" s="240" t="s">
        <v>402</v>
      </c>
    </row>
    <row r="30" spans="1:2" collapsed="1" x14ac:dyDescent="0.2">
      <c r="A30" s="244" t="s">
        <v>452</v>
      </c>
      <c r="B30" s="242" t="s">
        <v>403</v>
      </c>
    </row>
    <row r="31" spans="1:2" hidden="1" outlineLevel="1" x14ac:dyDescent="0.2">
      <c r="A31" t="s">
        <v>453</v>
      </c>
      <c r="B31" s="240" t="s">
        <v>404</v>
      </c>
    </row>
    <row r="32" spans="1:2" collapsed="1" x14ac:dyDescent="0.2">
      <c r="A32" s="244" t="s">
        <v>452</v>
      </c>
      <c r="B32" s="242" t="s">
        <v>405</v>
      </c>
    </row>
    <row r="33" spans="1:2" hidden="1" outlineLevel="1" x14ac:dyDescent="0.2">
      <c r="A33" t="s">
        <v>453</v>
      </c>
      <c r="B33" s="240" t="s">
        <v>406</v>
      </c>
    </row>
    <row r="34" spans="1:2" hidden="1" outlineLevel="1" x14ac:dyDescent="0.2">
      <c r="A34" t="s">
        <v>453</v>
      </c>
      <c r="B34" s="240" t="s">
        <v>407</v>
      </c>
    </row>
    <row r="35" spans="1:2" hidden="1" outlineLevel="1" x14ac:dyDescent="0.2">
      <c r="A35" t="s">
        <v>453</v>
      </c>
      <c r="B35" s="240" t="s">
        <v>408</v>
      </c>
    </row>
    <row r="36" spans="1:2" hidden="1" outlineLevel="1" x14ac:dyDescent="0.2">
      <c r="A36" t="s">
        <v>453</v>
      </c>
      <c r="B36" s="240" t="s">
        <v>409</v>
      </c>
    </row>
    <row r="37" spans="1:2" hidden="1" outlineLevel="1" x14ac:dyDescent="0.2">
      <c r="A37" t="s">
        <v>453</v>
      </c>
      <c r="B37" s="240" t="s">
        <v>410</v>
      </c>
    </row>
    <row r="38" spans="1:2" hidden="1" outlineLevel="1" x14ac:dyDescent="0.2">
      <c r="A38" t="s">
        <v>453</v>
      </c>
      <c r="B38" s="240" t="s">
        <v>411</v>
      </c>
    </row>
    <row r="39" spans="1:2" hidden="1" outlineLevel="1" x14ac:dyDescent="0.2">
      <c r="A39" t="s">
        <v>453</v>
      </c>
      <c r="B39" s="240" t="s">
        <v>412</v>
      </c>
    </row>
    <row r="40" spans="1:2" hidden="1" outlineLevel="1" x14ac:dyDescent="0.2">
      <c r="A40" t="s">
        <v>453</v>
      </c>
      <c r="B40" s="240" t="s">
        <v>413</v>
      </c>
    </row>
    <row r="41" spans="1:2" hidden="1" outlineLevel="1" x14ac:dyDescent="0.2">
      <c r="A41" t="s">
        <v>453</v>
      </c>
      <c r="B41" s="240" t="s">
        <v>414</v>
      </c>
    </row>
    <row r="42" spans="1:2" hidden="1" outlineLevel="1" x14ac:dyDescent="0.2">
      <c r="A42" t="s">
        <v>453</v>
      </c>
      <c r="B42" s="240" t="s">
        <v>415</v>
      </c>
    </row>
    <row r="43" spans="1:2" hidden="1" outlineLevel="1" x14ac:dyDescent="0.2">
      <c r="A43" t="s">
        <v>453</v>
      </c>
      <c r="B43" s="240" t="s">
        <v>416</v>
      </c>
    </row>
    <row r="44" spans="1:2" hidden="1" outlineLevel="1" x14ac:dyDescent="0.2">
      <c r="A44" t="s">
        <v>453</v>
      </c>
      <c r="B44" s="240" t="s">
        <v>417</v>
      </c>
    </row>
    <row r="45" spans="1:2" hidden="1" outlineLevel="1" x14ac:dyDescent="0.2">
      <c r="A45" t="s">
        <v>453</v>
      </c>
      <c r="B45" s="240" t="s">
        <v>418</v>
      </c>
    </row>
    <row r="46" spans="1:2" hidden="1" outlineLevel="1" x14ac:dyDescent="0.2">
      <c r="A46" t="s">
        <v>453</v>
      </c>
      <c r="B46" s="240" t="s">
        <v>419</v>
      </c>
    </row>
    <row r="47" spans="1:2" hidden="1" outlineLevel="1" x14ac:dyDescent="0.2">
      <c r="A47" t="s">
        <v>453</v>
      </c>
      <c r="B47" s="240" t="s">
        <v>420</v>
      </c>
    </row>
    <row r="48" spans="1:2" hidden="1" outlineLevel="1" x14ac:dyDescent="0.2">
      <c r="A48" t="s">
        <v>453</v>
      </c>
      <c r="B48" s="240" t="s">
        <v>421</v>
      </c>
    </row>
    <row r="49" spans="1:2" hidden="1" outlineLevel="1" x14ac:dyDescent="0.2">
      <c r="A49" t="s">
        <v>453</v>
      </c>
      <c r="B49" s="240" t="s">
        <v>422</v>
      </c>
    </row>
    <row r="50" spans="1:2" hidden="1" outlineLevel="1" x14ac:dyDescent="0.2">
      <c r="A50" t="s">
        <v>453</v>
      </c>
      <c r="B50" s="240" t="s">
        <v>423</v>
      </c>
    </row>
    <row r="51" spans="1:2" hidden="1" outlineLevel="1" x14ac:dyDescent="0.2">
      <c r="A51" t="s">
        <v>453</v>
      </c>
      <c r="B51" s="240" t="s">
        <v>424</v>
      </c>
    </row>
    <row r="52" spans="1:2" hidden="1" outlineLevel="1" x14ac:dyDescent="0.2">
      <c r="A52" t="s">
        <v>453</v>
      </c>
      <c r="B52" s="240" t="s">
        <v>425</v>
      </c>
    </row>
    <row r="53" spans="1:2" hidden="1" outlineLevel="1" x14ac:dyDescent="0.2">
      <c r="A53" t="s">
        <v>453</v>
      </c>
      <c r="B53" s="240" t="s">
        <v>426</v>
      </c>
    </row>
    <row r="54" spans="1:2" collapsed="1" x14ac:dyDescent="0.2">
      <c r="A54" s="244" t="s">
        <v>452</v>
      </c>
      <c r="B54" s="242" t="s">
        <v>427</v>
      </c>
    </row>
    <row r="55" spans="1:2" hidden="1" outlineLevel="1" x14ac:dyDescent="0.2">
      <c r="A55" t="s">
        <v>453</v>
      </c>
      <c r="B55" s="240" t="s">
        <v>428</v>
      </c>
    </row>
    <row r="56" spans="1:2" hidden="1" outlineLevel="1" x14ac:dyDescent="0.2">
      <c r="A56" t="s">
        <v>453</v>
      </c>
      <c r="B56" s="240" t="s">
        <v>429</v>
      </c>
    </row>
    <row r="57" spans="1:2" hidden="1" outlineLevel="1" x14ac:dyDescent="0.2">
      <c r="A57" t="s">
        <v>453</v>
      </c>
      <c r="B57" s="240" t="s">
        <v>430</v>
      </c>
    </row>
    <row r="58" spans="1:2" hidden="1" outlineLevel="1" x14ac:dyDescent="0.2">
      <c r="A58" t="s">
        <v>453</v>
      </c>
      <c r="B58" s="240" t="s">
        <v>431</v>
      </c>
    </row>
    <row r="59" spans="1:2" hidden="1" outlineLevel="1" x14ac:dyDescent="0.2">
      <c r="A59" t="s">
        <v>453</v>
      </c>
      <c r="B59" s="240" t="s">
        <v>432</v>
      </c>
    </row>
    <row r="60" spans="1:2" hidden="1" outlineLevel="1" x14ac:dyDescent="0.2">
      <c r="A60" t="s">
        <v>453</v>
      </c>
      <c r="B60" s="240" t="s">
        <v>433</v>
      </c>
    </row>
    <row r="61" spans="1:2" hidden="1" outlineLevel="1" x14ac:dyDescent="0.2">
      <c r="A61" t="s">
        <v>453</v>
      </c>
      <c r="B61" s="240" t="s">
        <v>434</v>
      </c>
    </row>
    <row r="62" spans="1:2" hidden="1" outlineLevel="1" x14ac:dyDescent="0.2">
      <c r="A62" s="244" t="s">
        <v>452</v>
      </c>
      <c r="B62" s="242" t="s">
        <v>435</v>
      </c>
    </row>
    <row r="63" spans="1:2" hidden="1" outlineLevel="1" x14ac:dyDescent="0.2">
      <c r="A63" t="s">
        <v>453</v>
      </c>
      <c r="B63" s="240" t="s">
        <v>436</v>
      </c>
    </row>
    <row r="64" spans="1:2" hidden="1" outlineLevel="1" x14ac:dyDescent="0.2">
      <c r="A64" t="s">
        <v>453</v>
      </c>
      <c r="B64" s="240" t="s">
        <v>437</v>
      </c>
    </row>
    <row r="65" spans="1:2" hidden="1" outlineLevel="1" x14ac:dyDescent="0.2">
      <c r="A65" t="s">
        <v>453</v>
      </c>
      <c r="B65" s="240" t="s">
        <v>438</v>
      </c>
    </row>
    <row r="66" spans="1:2" collapsed="1" x14ac:dyDescent="0.2">
      <c r="A66" s="244" t="s">
        <v>452</v>
      </c>
      <c r="B66" s="242" t="s">
        <v>439</v>
      </c>
    </row>
    <row r="67" spans="1:2" hidden="1" outlineLevel="1" x14ac:dyDescent="0.2">
      <c r="A67" t="s">
        <v>453</v>
      </c>
      <c r="B67" s="240" t="s">
        <v>440</v>
      </c>
    </row>
    <row r="68" spans="1:2" hidden="1" outlineLevel="1" x14ac:dyDescent="0.2">
      <c r="A68" t="s">
        <v>453</v>
      </c>
      <c r="B68" s="240" t="s">
        <v>441</v>
      </c>
    </row>
    <row r="69" spans="1:2" hidden="1" outlineLevel="1" x14ac:dyDescent="0.2">
      <c r="A69" t="s">
        <v>453</v>
      </c>
      <c r="B69" s="240" t="s">
        <v>442</v>
      </c>
    </row>
    <row r="70" spans="1:2" hidden="1" outlineLevel="1" x14ac:dyDescent="0.2">
      <c r="A70" t="s">
        <v>453</v>
      </c>
      <c r="B70" s="240" t="s">
        <v>443</v>
      </c>
    </row>
    <row r="71" spans="1:2" collapsed="1" x14ac:dyDescent="0.2">
      <c r="A71" s="244" t="s">
        <v>452</v>
      </c>
      <c r="B71" s="242" t="s">
        <v>444</v>
      </c>
    </row>
    <row r="72" spans="1:2" hidden="1" outlineLevel="1" x14ac:dyDescent="0.2">
      <c r="A72" t="s">
        <v>453</v>
      </c>
      <c r="B72" s="240" t="s">
        <v>445</v>
      </c>
    </row>
    <row r="73" spans="1:2" hidden="1" outlineLevel="1" x14ac:dyDescent="0.2">
      <c r="A73" t="s">
        <v>453</v>
      </c>
      <c r="B73" s="240" t="s">
        <v>446</v>
      </c>
    </row>
    <row r="74" spans="1:2" collapsed="1" x14ac:dyDescent="0.2">
      <c r="A74" s="244" t="s">
        <v>452</v>
      </c>
      <c r="B74" s="242" t="s">
        <v>447</v>
      </c>
    </row>
    <row r="75" spans="1:2" hidden="1" outlineLevel="1" x14ac:dyDescent="0.2">
      <c r="A75" t="s">
        <v>453</v>
      </c>
      <c r="B75" s="240" t="s">
        <v>448</v>
      </c>
    </row>
    <row r="76" spans="1:2" collapsed="1" x14ac:dyDescent="0.2">
      <c r="A76" s="244" t="s">
        <v>452</v>
      </c>
      <c r="B76" s="242" t="s">
        <v>449</v>
      </c>
    </row>
    <row r="77" spans="1:2" hidden="1" outlineLevel="1" x14ac:dyDescent="0.2">
      <c r="A77" t="s">
        <v>453</v>
      </c>
      <c r="B77" s="240" t="s">
        <v>450</v>
      </c>
    </row>
    <row r="78" spans="1:2" collapsed="1" x14ac:dyDescent="0.2"/>
  </sheetData>
  <autoFilter ref="A1:B1" xr:uid="{418CD6DF-4178-4EE1-9775-E3A7098C8FA5}"/>
  <hyperlinks>
    <hyperlink ref="D1" r:id="rId1" xr:uid="{227FD0ED-D4F4-432C-A1B8-A889087F76C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59550-C1F7-4B40-BC0F-B4361BC6A974}">
  <sheetPr codeName="Sheet8"/>
  <dimension ref="A1:L63"/>
  <sheetViews>
    <sheetView zoomScaleNormal="100" workbookViewId="0">
      <selection activeCell="B16" sqref="B16"/>
    </sheetView>
  </sheetViews>
  <sheetFormatPr defaultRowHeight="12.75" x14ac:dyDescent="0.2"/>
  <cols>
    <col min="1" max="1" width="2.28515625" style="215" customWidth="1"/>
    <col min="2" max="2" width="69.42578125" customWidth="1"/>
    <col min="3" max="3" width="4.28515625" customWidth="1"/>
  </cols>
  <sheetData>
    <row r="1" spans="1:3" ht="10.5" customHeight="1" x14ac:dyDescent="0.2">
      <c r="A1" s="223"/>
      <c r="B1" s="222"/>
      <c r="C1" s="217"/>
    </row>
    <row r="2" spans="1:3" x14ac:dyDescent="0.2">
      <c r="A2" s="225" t="s">
        <v>354</v>
      </c>
      <c r="B2" s="216"/>
      <c r="C2" s="217"/>
    </row>
    <row r="3" spans="1:3" ht="3" customHeight="1" x14ac:dyDescent="0.2">
      <c r="A3" s="223"/>
      <c r="B3" s="222"/>
      <c r="C3" s="217"/>
    </row>
    <row r="4" spans="1:3" ht="13.5" customHeight="1" x14ac:dyDescent="0.2">
      <c r="A4" s="221" t="s">
        <v>14</v>
      </c>
      <c r="B4" s="224" t="s">
        <v>484</v>
      </c>
      <c r="C4" s="217"/>
    </row>
    <row r="5" spans="1:3" x14ac:dyDescent="0.2">
      <c r="A5" s="221" t="s">
        <v>14</v>
      </c>
      <c r="B5" s="222" t="s">
        <v>466</v>
      </c>
      <c r="C5" s="217"/>
    </row>
    <row r="6" spans="1:3" ht="3" hidden="1" customHeight="1" x14ac:dyDescent="0.2">
      <c r="A6" s="223"/>
      <c r="B6" s="222"/>
      <c r="C6" s="217"/>
    </row>
    <row r="7" spans="1:3" ht="24" x14ac:dyDescent="0.2">
      <c r="A7" s="221" t="s">
        <v>14</v>
      </c>
      <c r="B7" s="222" t="s">
        <v>485</v>
      </c>
      <c r="C7" s="217"/>
    </row>
    <row r="8" spans="1:3" ht="2.25" customHeight="1" x14ac:dyDescent="0.2">
      <c r="A8" s="223"/>
      <c r="B8" s="222"/>
      <c r="C8" s="217"/>
    </row>
    <row r="9" spans="1:3" ht="36" x14ac:dyDescent="0.2">
      <c r="A9" s="221" t="s">
        <v>14</v>
      </c>
      <c r="B9" s="224" t="s">
        <v>463</v>
      </c>
      <c r="C9" s="217"/>
    </row>
    <row r="10" spans="1:3" ht="9" customHeight="1" x14ac:dyDescent="0.2">
      <c r="A10" s="218"/>
      <c r="B10" s="219"/>
      <c r="C10" s="217"/>
    </row>
    <row r="54" spans="8:12" x14ac:dyDescent="0.2">
      <c r="H54" s="246"/>
      <c r="I54" s="247"/>
      <c r="J54" s="247"/>
      <c r="K54" s="247"/>
      <c r="L54" s="247"/>
    </row>
    <row r="55" spans="8:12" x14ac:dyDescent="0.2">
      <c r="H55" s="247"/>
      <c r="I55" s="247"/>
      <c r="J55" s="247"/>
      <c r="K55" s="247"/>
      <c r="L55" s="247"/>
    </row>
    <row r="56" spans="8:12" x14ac:dyDescent="0.2">
      <c r="H56" s="247"/>
      <c r="I56" s="247"/>
      <c r="J56" s="247"/>
      <c r="K56" s="247"/>
      <c r="L56" s="247"/>
    </row>
    <row r="57" spans="8:12" x14ac:dyDescent="0.2">
      <c r="H57" s="247"/>
      <c r="I57" s="247"/>
      <c r="J57" s="247"/>
      <c r="K57" s="247"/>
      <c r="L57" s="247"/>
    </row>
    <row r="58" spans="8:12" x14ac:dyDescent="0.2">
      <c r="H58" s="247"/>
      <c r="I58" s="247"/>
      <c r="J58" s="247"/>
      <c r="K58" s="247"/>
      <c r="L58" s="247"/>
    </row>
    <row r="59" spans="8:12" x14ac:dyDescent="0.2">
      <c r="H59" s="247"/>
      <c r="I59" s="247"/>
      <c r="J59" s="247"/>
      <c r="K59" s="247"/>
      <c r="L59" s="247"/>
    </row>
    <row r="60" spans="8:12" x14ac:dyDescent="0.2">
      <c r="H60" s="247"/>
      <c r="I60" s="247"/>
      <c r="J60" s="247"/>
      <c r="K60" s="247"/>
      <c r="L60" s="247"/>
    </row>
    <row r="61" spans="8:12" x14ac:dyDescent="0.2">
      <c r="H61" s="247"/>
      <c r="I61" s="247"/>
      <c r="J61" s="247"/>
      <c r="K61" s="247"/>
      <c r="L61" s="247"/>
    </row>
    <row r="62" spans="8:12" x14ac:dyDescent="0.2">
      <c r="H62" s="247"/>
      <c r="I62" s="247"/>
      <c r="J62" s="247"/>
      <c r="K62" s="247"/>
      <c r="L62" s="247"/>
    </row>
    <row r="63" spans="8:12" x14ac:dyDescent="0.2">
      <c r="H63" s="247"/>
      <c r="I63" s="247"/>
      <c r="J63" s="247"/>
      <c r="K63" s="247"/>
      <c r="L63" s="247"/>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1</xdr:col>
                    <xdr:colOff>95250</xdr:colOff>
                    <xdr:row>14</xdr:row>
                    <xdr:rowOff>85725</xdr:rowOff>
                  </from>
                  <to>
                    <xdr:col>1</xdr:col>
                    <xdr:colOff>3324225</xdr:colOff>
                    <xdr:row>17</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43</vt:i4>
      </vt:variant>
    </vt:vector>
  </HeadingPairs>
  <TitlesOfParts>
    <vt:vector size="44" baseType="lpstr">
      <vt:lpstr>Estimator</vt:lpstr>
      <vt:lpstr>BasePrice2</vt:lpstr>
      <vt:lpstr>BLFuelSurcharge</vt:lpstr>
      <vt:lpstr>BLRates2</vt:lpstr>
      <vt:lpstr>ESI_Applicable_Rate</vt:lpstr>
      <vt:lpstr>ESI_Discount_Value</vt:lpstr>
      <vt:lpstr>Estuary_Charge</vt:lpstr>
      <vt:lpstr>Estuary_Charge_Rate</vt:lpstr>
      <vt:lpstr>fBeam</vt:lpstr>
      <vt:lpstr>fCargoTonnage</vt:lpstr>
      <vt:lpstr>fCargoType</vt:lpstr>
      <vt:lpstr>fDraught</vt:lpstr>
      <vt:lpstr>fESI</vt:lpstr>
      <vt:lpstr>fFrom</vt:lpstr>
      <vt:lpstr>fLOA</vt:lpstr>
      <vt:lpstr>fTilbury</vt:lpstr>
      <vt:lpstr>fTo</vt:lpstr>
      <vt:lpstr>fTOSCAAnimal</vt:lpstr>
      <vt:lpstr>fTOSCAType</vt:lpstr>
      <vt:lpstr>fUnitSize</vt:lpstr>
      <vt:lpstr>fVesselGT</vt:lpstr>
      <vt:lpstr>fVesselType</vt:lpstr>
      <vt:lpstr>Goods_Charge</vt:lpstr>
      <vt:lpstr>Goods_Charge_Rate</vt:lpstr>
      <vt:lpstr>LOC</vt:lpstr>
      <vt:lpstr>LongLocations2</vt:lpstr>
      <vt:lpstr>MandatoryCheck</vt:lpstr>
      <vt:lpstr>Pilots_Required</vt:lpstr>
      <vt:lpstr>PNPFLevyRate</vt:lpstr>
      <vt:lpstr>pnpfRate</vt:lpstr>
      <vt:lpstr>RiverBand</vt:lpstr>
      <vt:lpstr>RiverRateCode</vt:lpstr>
      <vt:lpstr>rngGoods</vt:lpstr>
      <vt:lpstr>rngUnits</vt:lpstr>
      <vt:lpstr>RoRoDiscountRate</vt:lpstr>
      <vt:lpstr>SeaBand</vt:lpstr>
      <vt:lpstr>SeaRateCode</vt:lpstr>
      <vt:lpstr>SpecPilotRequired</vt:lpstr>
      <vt:lpstr>TOSCAList</vt:lpstr>
      <vt:lpstr>Total_Cargo_Charge</vt:lpstr>
      <vt:lpstr>Vessel_Conservancy_Charge</vt:lpstr>
      <vt:lpstr>Vessel_Conservancy_Charge_Rate</vt:lpstr>
      <vt:lpstr>VisGoods</vt:lpstr>
      <vt:lpstr>VisUnits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2023-01-12T11:53:12Z</dcterms:created>
  <dcterms:modified xsi:type="dcterms:W3CDTF">2024-01-26T11:32:29Z</dcterms:modified>
  <cp:category/>
  <cp:contentStatus/>
</cp:coreProperties>
</file>